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870" yWindow="930" windowWidth="13815" windowHeight="7530" activeTab="2"/>
  </bookViews>
  <sheets>
    <sheet name="Unify" sheetId="5" r:id="rId1"/>
    <sheet name="PSD" sheetId="4" r:id="rId2"/>
    <sheet name="CHPPD" sheetId="2" r:id="rId3"/>
    <sheet name="Unify Report" sheetId="1" r:id="rId4"/>
    <sheet name="Beddays_Data" sheetId="3" r:id="rId5"/>
  </sheets>
  <definedNames>
    <definedName name="_xlnm._FilterDatabase" localSheetId="4" hidden="1">Beddays_Data!#REF!</definedName>
    <definedName name="_xlnm._FilterDatabase" localSheetId="1" hidden="1">PSD!$A$2:$O$2</definedName>
    <definedName name="_xlnm._FilterDatabase" localSheetId="0" hidden="1">Unify!$I$2:$P$44</definedName>
    <definedName name="_xlnm.Print_Area" localSheetId="2">CHPPD!$A:$R</definedName>
    <definedName name="_xlnm.Print_Area" localSheetId="3">'Unify Report'!$B$1:$V$49</definedName>
    <definedName name="Query_from_PSD" localSheetId="4" hidden="1">Beddays_Data!$A$1:$E$65</definedName>
  </definedNames>
  <calcPr calcId="145621"/>
</workbook>
</file>

<file path=xl/calcChain.xml><?xml version="1.0" encoding="utf-8"?>
<calcChain xmlns="http://schemas.openxmlformats.org/spreadsheetml/2006/main">
  <c r="K52" i="1" l="1"/>
  <c r="E3" i="5" l="1"/>
  <c r="K9" i="2" l="1"/>
  <c r="K10" i="2"/>
  <c r="K11" i="2"/>
  <c r="K12" i="2"/>
  <c r="K13" i="2"/>
  <c r="K14" i="2"/>
  <c r="O52" i="1" l="1"/>
  <c r="O53" i="1" s="1"/>
  <c r="U49" i="1" l="1"/>
  <c r="V49" i="1"/>
  <c r="S2" i="1"/>
  <c r="T2" i="1"/>
  <c r="S3" i="1"/>
  <c r="T3" i="1"/>
  <c r="S4" i="1"/>
  <c r="T4" i="1"/>
  <c r="S5" i="1"/>
  <c r="T5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T12" i="1"/>
  <c r="S13" i="1"/>
  <c r="T13" i="1"/>
  <c r="S14" i="1"/>
  <c r="T14" i="1"/>
  <c r="U13" i="1" l="1"/>
  <c r="U11" i="1"/>
  <c r="U9" i="1"/>
  <c r="U7" i="1"/>
  <c r="U5" i="1"/>
  <c r="U3" i="1"/>
  <c r="U14" i="1"/>
  <c r="U12" i="1"/>
  <c r="U10" i="1"/>
  <c r="U8" i="1"/>
  <c r="U6" i="1"/>
  <c r="U4" i="1"/>
  <c r="V2" i="1"/>
  <c r="V14" i="1"/>
  <c r="V13" i="1"/>
  <c r="V12" i="1"/>
  <c r="V11" i="1"/>
  <c r="V10" i="1"/>
  <c r="V9" i="1"/>
  <c r="V8" i="1"/>
  <c r="V7" i="1"/>
  <c r="V6" i="1"/>
  <c r="V5" i="1"/>
  <c r="V4" i="1"/>
  <c r="V3" i="1"/>
  <c r="U2" i="1"/>
  <c r="L42" i="2"/>
  <c r="K42" i="2"/>
  <c r="L41" i="2"/>
  <c r="K41" i="2"/>
  <c r="L40" i="2"/>
  <c r="K40" i="2"/>
  <c r="L39" i="2"/>
  <c r="K39" i="2"/>
  <c r="L38" i="2"/>
  <c r="K38" i="2"/>
  <c r="L37" i="2"/>
  <c r="K37" i="2"/>
  <c r="L36" i="2"/>
  <c r="K36" i="2"/>
  <c r="L50" i="2"/>
  <c r="K50" i="2"/>
  <c r="L49" i="2"/>
  <c r="K49" i="2"/>
  <c r="L48" i="2"/>
  <c r="K48" i="2"/>
  <c r="L47" i="2"/>
  <c r="K47" i="2"/>
  <c r="L46" i="2"/>
  <c r="K46" i="2"/>
  <c r="L45" i="2"/>
  <c r="K45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8" i="2"/>
  <c r="K18" i="2"/>
  <c r="L17" i="2"/>
  <c r="K17" i="2"/>
  <c r="L16" i="2"/>
  <c r="K16" i="2"/>
  <c r="L15" i="2"/>
  <c r="K15" i="2"/>
  <c r="L14" i="2"/>
  <c r="L13" i="2"/>
  <c r="L12" i="2"/>
  <c r="L11" i="2"/>
  <c r="L10" i="2"/>
  <c r="L9" i="2"/>
  <c r="L8" i="2"/>
  <c r="K8" i="2"/>
  <c r="L7" i="2"/>
  <c r="K7" i="2"/>
  <c r="L6" i="2"/>
  <c r="K6" i="2"/>
  <c r="K19" i="2" l="1"/>
  <c r="E74" i="3"/>
  <c r="L44" i="2" s="1"/>
  <c r="D74" i="3"/>
  <c r="K44" i="2" s="1"/>
  <c r="E73" i="3" l="1"/>
  <c r="L43" i="2" s="1"/>
  <c r="D73" i="3"/>
  <c r="K43" i="2" s="1"/>
  <c r="C52" i="1" l="1"/>
  <c r="C53" i="1" s="1"/>
  <c r="T48" i="1" l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U44" i="1" l="1"/>
  <c r="U48" i="1"/>
  <c r="V40" i="1"/>
  <c r="V15" i="1"/>
  <c r="V17" i="1"/>
  <c r="V19" i="1"/>
  <c r="V21" i="1"/>
  <c r="V23" i="1"/>
  <c r="V25" i="1"/>
  <c r="V27" i="1"/>
  <c r="V29" i="1"/>
  <c r="V31" i="1"/>
  <c r="V33" i="1"/>
  <c r="V35" i="1"/>
  <c r="V37" i="1"/>
  <c r="V39" i="1"/>
  <c r="V41" i="1"/>
  <c r="V16" i="1"/>
  <c r="U20" i="1"/>
  <c r="V24" i="1"/>
  <c r="U28" i="1"/>
  <c r="V32" i="1"/>
  <c r="U36" i="1"/>
  <c r="V48" i="1"/>
  <c r="U16" i="1"/>
  <c r="V20" i="1"/>
  <c r="U24" i="1"/>
  <c r="V28" i="1"/>
  <c r="U32" i="1"/>
  <c r="V36" i="1"/>
  <c r="U40" i="1"/>
  <c r="V44" i="1"/>
  <c r="V43" i="1"/>
  <c r="V45" i="1"/>
  <c r="V47" i="1"/>
  <c r="V18" i="1"/>
  <c r="V22" i="1"/>
  <c r="V26" i="1"/>
  <c r="V30" i="1"/>
  <c r="V34" i="1"/>
  <c r="V38" i="1"/>
  <c r="V42" i="1"/>
  <c r="V46" i="1"/>
  <c r="U18" i="1"/>
  <c r="U22" i="1"/>
  <c r="U26" i="1"/>
  <c r="U30" i="1"/>
  <c r="U34" i="1"/>
  <c r="U38" i="1"/>
  <c r="U42" i="1"/>
  <c r="U46" i="1"/>
  <c r="U15" i="1"/>
  <c r="U19" i="1"/>
  <c r="U23" i="1"/>
  <c r="U27" i="1"/>
  <c r="U31" i="1"/>
  <c r="U35" i="1"/>
  <c r="U39" i="1"/>
  <c r="U43" i="1"/>
  <c r="U47" i="1"/>
  <c r="U17" i="1"/>
  <c r="U21" i="1"/>
  <c r="U25" i="1"/>
  <c r="U29" i="1"/>
  <c r="U33" i="1"/>
  <c r="U37" i="1"/>
  <c r="U41" i="1"/>
  <c r="U45" i="1"/>
  <c r="P52" i="1"/>
  <c r="P53" i="1" s="1"/>
  <c r="L52" i="1"/>
  <c r="L53" i="1" s="1"/>
  <c r="K53" i="1"/>
  <c r="H52" i="1"/>
  <c r="H53" i="1" s="1"/>
  <c r="G52" i="1"/>
  <c r="G53" i="1" s="1"/>
  <c r="D52" i="1"/>
  <c r="D53" i="1" s="1"/>
  <c r="A43" i="1"/>
  <c r="A47" i="1" l="1"/>
  <c r="A2" i="1"/>
  <c r="H4" i="5" l="1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3" i="5"/>
  <c r="Q38" i="5" l="1"/>
  <c r="N40" i="2"/>
  <c r="Q34" i="5"/>
  <c r="Q4" i="5"/>
  <c r="N7" i="2"/>
  <c r="Q5" i="5"/>
  <c r="N8" i="2"/>
  <c r="Q6" i="5"/>
  <c r="N9" i="2"/>
  <c r="Q7" i="5"/>
  <c r="Q8" i="5"/>
  <c r="N11" i="2"/>
  <c r="Q9" i="5"/>
  <c r="N12" i="2"/>
  <c r="Q10" i="5"/>
  <c r="Q11" i="5"/>
  <c r="N14" i="2"/>
  <c r="Q12" i="5"/>
  <c r="N15" i="2"/>
  <c r="Q13" i="5"/>
  <c r="N16" i="2"/>
  <c r="Q14" i="5"/>
  <c r="Q15" i="5"/>
  <c r="Q16" i="5"/>
  <c r="N20" i="2"/>
  <c r="Q17" i="5"/>
  <c r="Q18" i="5"/>
  <c r="Q19" i="5"/>
  <c r="N23" i="2"/>
  <c r="Q20" i="5"/>
  <c r="N24" i="2"/>
  <c r="Q21" i="5"/>
  <c r="N25" i="2"/>
  <c r="Q22" i="5"/>
  <c r="N26" i="2"/>
  <c r="Q23" i="5"/>
  <c r="N28" i="2"/>
  <c r="Q24" i="5"/>
  <c r="Q25" i="5"/>
  <c r="N30" i="2"/>
  <c r="Q26" i="5"/>
  <c r="N31" i="2"/>
  <c r="Q27" i="5"/>
  <c r="N32" i="2"/>
  <c r="Q28" i="5"/>
  <c r="N33" i="2"/>
  <c r="Q29" i="5"/>
  <c r="Q30" i="5"/>
  <c r="N36" i="2"/>
  <c r="Q31" i="5"/>
  <c r="N37" i="2"/>
  <c r="Q32" i="5"/>
  <c r="Q33" i="5"/>
  <c r="N39" i="2"/>
  <c r="Q35" i="5"/>
  <c r="N41" i="2"/>
  <c r="Q36" i="5"/>
  <c r="Q37" i="5"/>
  <c r="N43" i="2"/>
  <c r="Q39" i="5"/>
  <c r="Q40" i="5"/>
  <c r="Q41" i="5"/>
  <c r="N47" i="2"/>
  <c r="Q42" i="5"/>
  <c r="Q43" i="5"/>
  <c r="Q44" i="5"/>
  <c r="Q3" i="5"/>
  <c r="A3" i="1"/>
  <c r="A4" i="1"/>
  <c r="A5" i="1"/>
  <c r="A6" i="1"/>
  <c r="A7" i="1"/>
  <c r="A8" i="1"/>
  <c r="A9" i="1"/>
  <c r="A10" i="1"/>
  <c r="A11" i="1"/>
  <c r="A12" i="1"/>
  <c r="A13" i="1"/>
  <c r="A14" i="1"/>
  <c r="A16" i="1"/>
  <c r="A17" i="1"/>
  <c r="A18" i="1"/>
  <c r="A19" i="1"/>
  <c r="A20" i="1"/>
  <c r="A21" i="1"/>
  <c r="A22" i="1"/>
  <c r="A24" i="1"/>
  <c r="A25" i="1"/>
  <c r="A26" i="1"/>
  <c r="A27" i="1"/>
  <c r="A28" i="1"/>
  <c r="A29" i="1"/>
  <c r="A30" i="1"/>
  <c r="A32" i="1"/>
  <c r="A33" i="1"/>
  <c r="A34" i="1"/>
  <c r="A35" i="1"/>
  <c r="A36" i="1"/>
  <c r="A37" i="1"/>
  <c r="A38" i="1"/>
  <c r="A39" i="1"/>
  <c r="A40" i="1"/>
  <c r="A42" i="1"/>
  <c r="A44" i="1"/>
  <c r="A45" i="1"/>
  <c r="A46" i="1"/>
  <c r="K3" i="4" l="1"/>
  <c r="O3" i="4"/>
  <c r="M3" i="5"/>
  <c r="K3" i="5"/>
  <c r="F6" i="2"/>
  <c r="J3" i="4"/>
  <c r="I3" i="4"/>
  <c r="I3" i="5"/>
  <c r="J3" i="5"/>
  <c r="L3" i="4"/>
  <c r="H3" i="4"/>
  <c r="P3" i="5"/>
  <c r="O3" i="5"/>
  <c r="M3" i="4"/>
  <c r="N3" i="4"/>
  <c r="L3" i="5"/>
  <c r="N3" i="5"/>
  <c r="G6" i="2"/>
  <c r="L44" i="4"/>
  <c r="L36" i="4"/>
  <c r="L28" i="4"/>
  <c r="L20" i="4"/>
  <c r="L12" i="4"/>
  <c r="L4" i="4"/>
  <c r="J38" i="4"/>
  <c r="J30" i="4"/>
  <c r="J22" i="4"/>
  <c r="J14" i="4"/>
  <c r="J6" i="4"/>
  <c r="M28" i="4"/>
  <c r="K44" i="4"/>
  <c r="K16" i="4"/>
  <c r="M39" i="4"/>
  <c r="M31" i="4"/>
  <c r="M23" i="4"/>
  <c r="M15" i="4"/>
  <c r="M7" i="4"/>
  <c r="K41" i="4"/>
  <c r="K33" i="4"/>
  <c r="K25" i="4"/>
  <c r="K17" i="4"/>
  <c r="K9" i="4"/>
  <c r="J17" i="4"/>
  <c r="M26" i="4"/>
  <c r="M6" i="4"/>
  <c r="K32" i="4"/>
  <c r="K14" i="4"/>
  <c r="L41" i="4"/>
  <c r="L33" i="4"/>
  <c r="L25" i="4"/>
  <c r="L17" i="4"/>
  <c r="L9" i="4"/>
  <c r="J43" i="4"/>
  <c r="J35" i="4"/>
  <c r="J27" i="4"/>
  <c r="J19" i="4"/>
  <c r="M42" i="4"/>
  <c r="M16" i="4"/>
  <c r="K28" i="4"/>
  <c r="L34" i="4"/>
  <c r="L10" i="4"/>
  <c r="J28" i="4"/>
  <c r="J4" i="4"/>
  <c r="M37" i="4"/>
  <c r="M13" i="4"/>
  <c r="K31" i="4"/>
  <c r="J13" i="4"/>
  <c r="K26" i="4"/>
  <c r="L31" i="4"/>
  <c r="L7" i="4"/>
  <c r="J15" i="4"/>
  <c r="K20" i="4"/>
  <c r="L40" i="4"/>
  <c r="L32" i="4"/>
  <c r="L24" i="4"/>
  <c r="L16" i="4"/>
  <c r="L8" i="4"/>
  <c r="J42" i="4"/>
  <c r="J34" i="4"/>
  <c r="J26" i="4"/>
  <c r="J18" i="4"/>
  <c r="J10" i="4"/>
  <c r="M40" i="4"/>
  <c r="M14" i="4"/>
  <c r="K30" i="4"/>
  <c r="M43" i="4"/>
  <c r="M35" i="4"/>
  <c r="M27" i="4"/>
  <c r="M19" i="4"/>
  <c r="M11" i="4"/>
  <c r="K37" i="4"/>
  <c r="K29" i="4"/>
  <c r="K21" i="4"/>
  <c r="K13" i="4"/>
  <c r="K5" i="4"/>
  <c r="J9" i="4"/>
  <c r="M36" i="4"/>
  <c r="M18" i="4"/>
  <c r="K40" i="4"/>
  <c r="K22" i="4"/>
  <c r="K4" i="4"/>
  <c r="L37" i="4"/>
  <c r="L29" i="4"/>
  <c r="L21" i="4"/>
  <c r="L13" i="4"/>
  <c r="L5" i="4"/>
  <c r="J39" i="4"/>
  <c r="J31" i="4"/>
  <c r="J23" i="4"/>
  <c r="J11" i="4"/>
  <c r="M32" i="4"/>
  <c r="K42" i="4"/>
  <c r="K12" i="4"/>
  <c r="L19" i="4"/>
  <c r="L11" i="4"/>
  <c r="J37" i="4"/>
  <c r="J29" i="4"/>
  <c r="J5" i="4"/>
  <c r="M24" i="4"/>
  <c r="K6" i="4"/>
  <c r="L26" i="4"/>
  <c r="J36" i="4"/>
  <c r="J20" i="4"/>
  <c r="M20" i="4"/>
  <c r="K38" i="4"/>
  <c r="M29" i="4"/>
  <c r="M21" i="4"/>
  <c r="K39" i="4"/>
  <c r="K23" i="4"/>
  <c r="K7" i="4"/>
  <c r="M44" i="4"/>
  <c r="M4" i="4"/>
  <c r="K8" i="4"/>
  <c r="L23" i="4"/>
  <c r="L15" i="4"/>
  <c r="J33" i="4"/>
  <c r="J25" i="4"/>
  <c r="M10" i="4"/>
  <c r="L38" i="4"/>
  <c r="L30" i="4"/>
  <c r="L22" i="4"/>
  <c r="L14" i="4"/>
  <c r="L6" i="4"/>
  <c r="J40" i="4"/>
  <c r="J32" i="4"/>
  <c r="J24" i="4"/>
  <c r="J16" i="4"/>
  <c r="J8" i="4"/>
  <c r="M34" i="4"/>
  <c r="M8" i="4"/>
  <c r="K24" i="4"/>
  <c r="M41" i="4"/>
  <c r="M33" i="4"/>
  <c r="M25" i="4"/>
  <c r="M17" i="4"/>
  <c r="M9" i="4"/>
  <c r="K43" i="4"/>
  <c r="K35" i="4"/>
  <c r="K27" i="4"/>
  <c r="K19" i="4"/>
  <c r="K11" i="4"/>
  <c r="J7" i="4"/>
  <c r="M30" i="4"/>
  <c r="M12" i="4"/>
  <c r="K36" i="4"/>
  <c r="K18" i="4"/>
  <c r="L43" i="4"/>
  <c r="L35" i="4"/>
  <c r="L27" i="4"/>
  <c r="J21" i="4"/>
  <c r="K34" i="4"/>
  <c r="L42" i="4"/>
  <c r="L18" i="4"/>
  <c r="J44" i="4"/>
  <c r="J12" i="4"/>
  <c r="K10" i="4"/>
  <c r="M5" i="4"/>
  <c r="K15" i="4"/>
  <c r="M22" i="4"/>
  <c r="L39" i="4"/>
  <c r="J41" i="4"/>
  <c r="M38" i="4"/>
  <c r="O44" i="4"/>
  <c r="O42" i="4"/>
  <c r="O40" i="4"/>
  <c r="O38" i="4"/>
  <c r="O36" i="4"/>
  <c r="O34" i="4"/>
  <c r="O32" i="4"/>
  <c r="O30" i="4"/>
  <c r="O28" i="4"/>
  <c r="O26" i="4"/>
  <c r="O24" i="4"/>
  <c r="O22" i="4"/>
  <c r="O20" i="4"/>
  <c r="O18" i="4"/>
  <c r="O16" i="4"/>
  <c r="O14" i="4"/>
  <c r="O12" i="4"/>
  <c r="O10" i="4"/>
  <c r="O8" i="4"/>
  <c r="O6" i="4"/>
  <c r="O4" i="4"/>
  <c r="N43" i="4"/>
  <c r="N41" i="4"/>
  <c r="N39" i="4"/>
  <c r="N37" i="4"/>
  <c r="N35" i="4"/>
  <c r="N33" i="4"/>
  <c r="N31" i="4"/>
  <c r="N29" i="4"/>
  <c r="N27" i="4"/>
  <c r="N25" i="4"/>
  <c r="N23" i="4"/>
  <c r="N21" i="4"/>
  <c r="N19" i="4"/>
  <c r="N17" i="4"/>
  <c r="N15" i="4"/>
  <c r="N13" i="4"/>
  <c r="N11" i="4"/>
  <c r="N9" i="4"/>
  <c r="N7" i="4"/>
  <c r="N5" i="4"/>
  <c r="I40" i="4"/>
  <c r="I33" i="4"/>
  <c r="I25" i="4"/>
  <c r="I17" i="4"/>
  <c r="I9" i="4"/>
  <c r="H44" i="4"/>
  <c r="I35" i="4"/>
  <c r="I26" i="4"/>
  <c r="I18" i="4"/>
  <c r="I10" i="4"/>
  <c r="H43" i="4"/>
  <c r="H35" i="4"/>
  <c r="H30" i="4"/>
  <c r="H33" i="4"/>
  <c r="H36" i="4"/>
  <c r="H20" i="4"/>
  <c r="H4" i="4"/>
  <c r="H11" i="4"/>
  <c r="H26" i="4"/>
  <c r="H29" i="4"/>
  <c r="P44" i="5"/>
  <c r="P42" i="5"/>
  <c r="P40" i="5"/>
  <c r="P38" i="5"/>
  <c r="P36" i="5"/>
  <c r="P34" i="5"/>
  <c r="P32" i="5"/>
  <c r="P30" i="5"/>
  <c r="P28" i="5"/>
  <c r="P26" i="5"/>
  <c r="P24" i="5"/>
  <c r="P22" i="5"/>
  <c r="P20" i="5"/>
  <c r="P18" i="5"/>
  <c r="P16" i="5"/>
  <c r="P14" i="5"/>
  <c r="P12" i="5"/>
  <c r="P10" i="5"/>
  <c r="P8" i="5"/>
  <c r="P4" i="5"/>
  <c r="K43" i="5"/>
  <c r="K41" i="5"/>
  <c r="I43" i="5"/>
  <c r="I41" i="5"/>
  <c r="I39" i="5"/>
  <c r="I37" i="5"/>
  <c r="I35" i="5"/>
  <c r="I33" i="5"/>
  <c r="I31" i="5"/>
  <c r="I29" i="5"/>
  <c r="I27" i="5"/>
  <c r="I25" i="5"/>
  <c r="I23" i="5"/>
  <c r="I21" i="5"/>
  <c r="I19" i="5"/>
  <c r="I17" i="5"/>
  <c r="I15" i="5"/>
  <c r="I13" i="5"/>
  <c r="I11" i="5"/>
  <c r="I9" i="5"/>
  <c r="I7" i="5"/>
  <c r="I5" i="5"/>
  <c r="L5" i="5"/>
  <c r="N44" i="5"/>
  <c r="O27" i="5"/>
  <c r="O16" i="5"/>
  <c r="O5" i="5"/>
  <c r="N37" i="5"/>
  <c r="N29" i="5"/>
  <c r="N20" i="5"/>
  <c r="N12" i="5"/>
  <c r="K35" i="5"/>
  <c r="K26" i="5"/>
  <c r="K18" i="5"/>
  <c r="K9" i="5"/>
  <c r="J43" i="5"/>
  <c r="J38" i="5"/>
  <c r="J34" i="5"/>
  <c r="J30" i="5"/>
  <c r="J26" i="5"/>
  <c r="J22" i="5"/>
  <c r="J18" i="5"/>
  <c r="J14" i="5"/>
  <c r="J10" i="5"/>
  <c r="J6" i="5"/>
  <c r="N42" i="5"/>
  <c r="O36" i="5"/>
  <c r="O31" i="5"/>
  <c r="O24" i="5"/>
  <c r="O18" i="5"/>
  <c r="O12" i="5"/>
  <c r="O6" i="5"/>
  <c r="N38" i="5"/>
  <c r="N30" i="5"/>
  <c r="N22" i="5"/>
  <c r="N15" i="5"/>
  <c r="N7" i="5"/>
  <c r="K40" i="5"/>
  <c r="K32" i="5"/>
  <c r="K25" i="5"/>
  <c r="K17" i="5"/>
  <c r="K10" i="5"/>
  <c r="O43" i="4"/>
  <c r="O39" i="4"/>
  <c r="O35" i="4"/>
  <c r="O29" i="4"/>
  <c r="O21" i="4"/>
  <c r="O13" i="4"/>
  <c r="O5" i="4"/>
  <c r="N38" i="4"/>
  <c r="N30" i="4"/>
  <c r="N22" i="4"/>
  <c r="N14" i="4"/>
  <c r="N6" i="4"/>
  <c r="I44" i="4"/>
  <c r="I36" i="4"/>
  <c r="I27" i="4"/>
  <c r="I15" i="4"/>
  <c r="I5" i="4"/>
  <c r="I39" i="4"/>
  <c r="I28" i="4"/>
  <c r="I16" i="4"/>
  <c r="I6" i="4"/>
  <c r="H39" i="4"/>
  <c r="H22" i="4"/>
  <c r="H17" i="4"/>
  <c r="H24" i="4"/>
  <c r="H27" i="4"/>
  <c r="H38" i="4"/>
  <c r="H37" i="4"/>
  <c r="L44" i="5"/>
  <c r="P41" i="5"/>
  <c r="L39" i="5"/>
  <c r="L36" i="5"/>
  <c r="P33" i="5"/>
  <c r="L31" i="5"/>
  <c r="L28" i="5"/>
  <c r="P25" i="5"/>
  <c r="L23" i="5"/>
  <c r="L20" i="5"/>
  <c r="P17" i="5"/>
  <c r="L15" i="5"/>
  <c r="L12" i="5"/>
  <c r="P9" i="5"/>
  <c r="P5" i="5"/>
  <c r="O42" i="5"/>
  <c r="I44" i="5"/>
  <c r="M41" i="5"/>
  <c r="M38" i="5"/>
  <c r="I36" i="5"/>
  <c r="M33" i="5"/>
  <c r="M30" i="5"/>
  <c r="I28" i="5"/>
  <c r="M25" i="5"/>
  <c r="M22" i="5"/>
  <c r="I20" i="5"/>
  <c r="M17" i="5"/>
  <c r="M14" i="5"/>
  <c r="I12" i="5"/>
  <c r="M9" i="5"/>
  <c r="M6" i="5"/>
  <c r="I4" i="5"/>
  <c r="L7" i="5"/>
  <c r="O44" i="5"/>
  <c r="O25" i="5"/>
  <c r="O10" i="5"/>
  <c r="N39" i="5"/>
  <c r="N27" i="5"/>
  <c r="N16" i="5"/>
  <c r="N5" i="5"/>
  <c r="K37" i="5"/>
  <c r="K24" i="5"/>
  <c r="K14" i="5"/>
  <c r="J37" i="5"/>
  <c r="J32" i="5"/>
  <c r="J27" i="5"/>
  <c r="J21" i="5"/>
  <c r="J16" i="5"/>
  <c r="J11" i="5"/>
  <c r="J5" i="5"/>
  <c r="O39" i="5"/>
  <c r="O32" i="5"/>
  <c r="O23" i="5"/>
  <c r="O15" i="5"/>
  <c r="O7" i="5"/>
  <c r="N36" i="5"/>
  <c r="N26" i="5"/>
  <c r="N17" i="5"/>
  <c r="N6" i="5"/>
  <c r="K36" i="5"/>
  <c r="K27" i="5"/>
  <c r="K15" i="5"/>
  <c r="K6" i="5"/>
  <c r="O31" i="4"/>
  <c r="O23" i="4"/>
  <c r="O15" i="4"/>
  <c r="O7" i="4"/>
  <c r="N40" i="4"/>
  <c r="N32" i="4"/>
  <c r="N24" i="4"/>
  <c r="N16" i="4"/>
  <c r="N8" i="4"/>
  <c r="I42" i="4"/>
  <c r="I34" i="4"/>
  <c r="I23" i="4"/>
  <c r="I13" i="4"/>
  <c r="I4" i="4"/>
  <c r="I37" i="4"/>
  <c r="I24" i="4"/>
  <c r="I14" i="4"/>
  <c r="H31" i="4"/>
  <c r="H14" i="4"/>
  <c r="H9" i="4"/>
  <c r="H16" i="4"/>
  <c r="H23" i="4"/>
  <c r="H34" i="4"/>
  <c r="H21" i="4"/>
  <c r="P43" i="5"/>
  <c r="L41" i="5"/>
  <c r="L38" i="5"/>
  <c r="P35" i="5"/>
  <c r="L33" i="5"/>
  <c r="L30" i="5"/>
  <c r="P27" i="5"/>
  <c r="L25" i="5"/>
  <c r="L22" i="5"/>
  <c r="P19" i="5"/>
  <c r="L17" i="5"/>
  <c r="L14" i="5"/>
  <c r="P11" i="5"/>
  <c r="L9" i="5"/>
  <c r="K42" i="5"/>
  <c r="M43" i="5"/>
  <c r="M40" i="5"/>
  <c r="I38" i="5"/>
  <c r="M35" i="5"/>
  <c r="M32" i="5"/>
  <c r="I30" i="5"/>
  <c r="M27" i="5"/>
  <c r="M24" i="5"/>
  <c r="I22" i="5"/>
  <c r="M19" i="5"/>
  <c r="M16" i="5"/>
  <c r="I14" i="5"/>
  <c r="M11" i="5"/>
  <c r="M8" i="5"/>
  <c r="I6" i="5"/>
  <c r="L6" i="5"/>
  <c r="O37" i="5"/>
  <c r="O22" i="5"/>
  <c r="O8" i="5"/>
  <c r="N35" i="5"/>
  <c r="N25" i="5"/>
  <c r="N14" i="5"/>
  <c r="K33" i="5"/>
  <c r="K22" i="5"/>
  <c r="K11" i="5"/>
  <c r="J41" i="5"/>
  <c r="J36" i="5"/>
  <c r="J31" i="5"/>
  <c r="J25" i="5"/>
  <c r="J20" i="5"/>
  <c r="J15" i="5"/>
  <c r="J9" i="5"/>
  <c r="J4" i="5"/>
  <c r="O38" i="5"/>
  <c r="O29" i="5"/>
  <c r="O21" i="5"/>
  <c r="O14" i="5"/>
  <c r="O4" i="5"/>
  <c r="N34" i="5"/>
  <c r="N24" i="5"/>
  <c r="N13" i="5"/>
  <c r="N4" i="5"/>
  <c r="K34" i="5"/>
  <c r="K23" i="5"/>
  <c r="K13" i="5"/>
  <c r="K4" i="5"/>
  <c r="O41" i="4"/>
  <c r="O37" i="4"/>
  <c r="O33" i="4"/>
  <c r="O25" i="4"/>
  <c r="O17" i="4"/>
  <c r="O9" i="4"/>
  <c r="N42" i="4"/>
  <c r="N34" i="4"/>
  <c r="N26" i="4"/>
  <c r="N18" i="4"/>
  <c r="N10" i="4"/>
  <c r="I41" i="4"/>
  <c r="I31" i="4"/>
  <c r="I21" i="4"/>
  <c r="I11" i="4"/>
  <c r="H40" i="4"/>
  <c r="I32" i="4"/>
  <c r="I22" i="4"/>
  <c r="I12" i="4"/>
  <c r="H42" i="4"/>
  <c r="H19" i="4"/>
  <c r="H6" i="4"/>
  <c r="H32" i="4"/>
  <c r="H12" i="4"/>
  <c r="H15" i="4"/>
  <c r="H18" i="4"/>
  <c r="H13" i="4"/>
  <c r="L43" i="5"/>
  <c r="L40" i="5"/>
  <c r="P37" i="5"/>
  <c r="L35" i="5"/>
  <c r="L32" i="5"/>
  <c r="P29" i="5"/>
  <c r="L27" i="5"/>
  <c r="L24" i="5"/>
  <c r="P21" i="5"/>
  <c r="L19" i="5"/>
  <c r="L16" i="5"/>
  <c r="P13" i="5"/>
  <c r="L11" i="5"/>
  <c r="L8" i="5"/>
  <c r="K44" i="5"/>
  <c r="O41" i="5"/>
  <c r="M42" i="5"/>
  <c r="I40" i="5"/>
  <c r="M37" i="5"/>
  <c r="M34" i="5"/>
  <c r="I32" i="5"/>
  <c r="M29" i="5"/>
  <c r="M26" i="5"/>
  <c r="I24" i="5"/>
  <c r="M21" i="5"/>
  <c r="M18" i="5"/>
  <c r="I16" i="5"/>
  <c r="M13" i="5"/>
  <c r="M10" i="5"/>
  <c r="I8" i="5"/>
  <c r="M5" i="5"/>
  <c r="L4" i="5"/>
  <c r="O33" i="5"/>
  <c r="O19" i="5"/>
  <c r="J44" i="5"/>
  <c r="N33" i="5"/>
  <c r="N23" i="5"/>
  <c r="O27" i="4"/>
  <c r="N36" i="4"/>
  <c r="N4" i="4"/>
  <c r="I38" i="4"/>
  <c r="I43" i="4"/>
  <c r="H28" i="4"/>
  <c r="H5" i="4"/>
  <c r="L34" i="5"/>
  <c r="P23" i="5"/>
  <c r="L13" i="5"/>
  <c r="O43" i="5"/>
  <c r="M36" i="5"/>
  <c r="I26" i="5"/>
  <c r="M15" i="5"/>
  <c r="M4" i="5"/>
  <c r="N31" i="5"/>
  <c r="K28" i="5"/>
  <c r="K5" i="5"/>
  <c r="J35" i="5"/>
  <c r="J24" i="5"/>
  <c r="J13" i="5"/>
  <c r="O28" i="5"/>
  <c r="O11" i="5"/>
  <c r="N32" i="5"/>
  <c r="N11" i="5"/>
  <c r="K30" i="5"/>
  <c r="K12" i="5"/>
  <c r="N44" i="4"/>
  <c r="N12" i="4"/>
  <c r="I29" i="4"/>
  <c r="I30" i="4"/>
  <c r="H41" i="4"/>
  <c r="H8" i="4"/>
  <c r="L42" i="5"/>
  <c r="P31" i="5"/>
  <c r="L21" i="5"/>
  <c r="L10" i="5"/>
  <c r="M44" i="5"/>
  <c r="I34" i="5"/>
  <c r="M23" i="5"/>
  <c r="M12" i="5"/>
  <c r="O30" i="5"/>
  <c r="N18" i="5"/>
  <c r="N41" i="5"/>
  <c r="K20" i="5"/>
  <c r="J33" i="5"/>
  <c r="J23" i="5"/>
  <c r="J12" i="5"/>
  <c r="O40" i="5"/>
  <c r="O26" i="5"/>
  <c r="O9" i="5"/>
  <c r="N28" i="5"/>
  <c r="N9" i="5"/>
  <c r="K29" i="5"/>
  <c r="K8" i="5"/>
  <c r="O11" i="4"/>
  <c r="N20" i="4"/>
  <c r="I19" i="4"/>
  <c r="I20" i="4"/>
  <c r="H7" i="4"/>
  <c r="P39" i="5"/>
  <c r="L29" i="5"/>
  <c r="L18" i="5"/>
  <c r="P6" i="5"/>
  <c r="I42" i="5"/>
  <c r="M31" i="5"/>
  <c r="M20" i="5"/>
  <c r="I10" i="5"/>
  <c r="O13" i="5"/>
  <c r="N10" i="5"/>
  <c r="K39" i="5"/>
  <c r="K16" i="5"/>
  <c r="J40" i="5"/>
  <c r="J29" i="5"/>
  <c r="J19" i="5"/>
  <c r="J8" i="5"/>
  <c r="O35" i="5"/>
  <c r="O20" i="5"/>
  <c r="N21" i="5"/>
  <c r="N43" i="5"/>
  <c r="K21" i="5"/>
  <c r="O19" i="4"/>
  <c r="N28" i="4"/>
  <c r="I7" i="4"/>
  <c r="I8" i="4"/>
  <c r="H25" i="4"/>
  <c r="H10" i="4"/>
  <c r="L37" i="5"/>
  <c r="L26" i="5"/>
  <c r="P15" i="5"/>
  <c r="M39" i="5"/>
  <c r="M28" i="5"/>
  <c r="I18" i="5"/>
  <c r="M7" i="5"/>
  <c r="P7" i="5"/>
  <c r="N40" i="5"/>
  <c r="N8" i="5"/>
  <c r="K31" i="5"/>
  <c r="K7" i="5"/>
  <c r="J39" i="5"/>
  <c r="J28" i="5"/>
  <c r="J17" i="5"/>
  <c r="J7" i="5"/>
  <c r="O34" i="5"/>
  <c r="O17" i="5"/>
  <c r="J42" i="5"/>
  <c r="N19" i="5"/>
  <c r="K38" i="5"/>
  <c r="K19" i="5"/>
  <c r="F48" i="2"/>
  <c r="G39" i="2"/>
  <c r="G30" i="2"/>
  <c r="G21" i="2"/>
  <c r="G12" i="2"/>
  <c r="G49" i="2"/>
  <c r="F41" i="2"/>
  <c r="F32" i="2"/>
  <c r="F23" i="2"/>
  <c r="F14" i="2"/>
  <c r="G44" i="2"/>
  <c r="G36" i="2"/>
  <c r="G26" i="2"/>
  <c r="G17" i="2"/>
  <c r="G9" i="2"/>
  <c r="G46" i="2"/>
  <c r="F38" i="2"/>
  <c r="F29" i="2"/>
  <c r="F20" i="2"/>
  <c r="F11" i="2"/>
  <c r="G45" i="2"/>
  <c r="G37" i="2"/>
  <c r="G28" i="2"/>
  <c r="G18" i="2"/>
  <c r="G10" i="2"/>
  <c r="G47" i="2"/>
  <c r="F39" i="2"/>
  <c r="F30" i="2"/>
  <c r="F21" i="2"/>
  <c r="F12" i="2"/>
  <c r="F46" i="2"/>
  <c r="G42" i="2"/>
  <c r="G33" i="2"/>
  <c r="G15" i="2"/>
  <c r="G7" i="2"/>
  <c r="F44" i="2"/>
  <c r="F26" i="2"/>
  <c r="I26" i="2" s="1"/>
  <c r="F9" i="2"/>
  <c r="G43" i="2"/>
  <c r="G34" i="2"/>
  <c r="G25" i="2"/>
  <c r="G16" i="2"/>
  <c r="G8" i="2"/>
  <c r="F45" i="2"/>
  <c r="F37" i="2"/>
  <c r="F28" i="2"/>
  <c r="F18" i="2"/>
  <c r="F10" i="2"/>
  <c r="F49" i="2"/>
  <c r="G40" i="2"/>
  <c r="G31" i="2"/>
  <c r="G22" i="2"/>
  <c r="G13" i="2"/>
  <c r="G50" i="2"/>
  <c r="F42" i="2"/>
  <c r="F33" i="2"/>
  <c r="F24" i="2"/>
  <c r="F15" i="2"/>
  <c r="I15" i="2" s="1"/>
  <c r="F7" i="2"/>
  <c r="I7" i="2" s="1"/>
  <c r="F50" i="2"/>
  <c r="G41" i="2"/>
  <c r="G32" i="2"/>
  <c r="G23" i="2"/>
  <c r="G14" i="2"/>
  <c r="F43" i="2"/>
  <c r="F34" i="2"/>
  <c r="F25" i="2"/>
  <c r="F16" i="2"/>
  <c r="F8" i="2"/>
  <c r="F47" i="2"/>
  <c r="I47" i="2" s="1"/>
  <c r="G38" i="2"/>
  <c r="G29" i="2"/>
  <c r="G20" i="2"/>
  <c r="G11" i="2"/>
  <c r="G48" i="2"/>
  <c r="F40" i="2"/>
  <c r="F31" i="2"/>
  <c r="F22" i="2"/>
  <c r="F13" i="2"/>
  <c r="G24" i="2"/>
  <c r="F36" i="2"/>
  <c r="F17" i="2"/>
  <c r="I17" i="2" s="1"/>
  <c r="L19" i="2"/>
  <c r="N19" i="2" s="1"/>
  <c r="K35" i="2"/>
  <c r="M35" i="2" s="1"/>
  <c r="K27" i="2"/>
  <c r="M27" i="2" s="1"/>
  <c r="M40" i="2"/>
  <c r="K51" i="2"/>
  <c r="M19" i="2"/>
  <c r="L27" i="2"/>
  <c r="N27" i="2" s="1"/>
  <c r="L51" i="2"/>
  <c r="M48" i="2"/>
  <c r="M46" i="2"/>
  <c r="M34" i="2"/>
  <c r="M30" i="2"/>
  <c r="M18" i="2"/>
  <c r="M14" i="2"/>
  <c r="M10" i="2"/>
  <c r="M49" i="2"/>
  <c r="M45" i="2"/>
  <c r="M44" i="2"/>
  <c r="M50" i="2"/>
  <c r="M43" i="2"/>
  <c r="M41" i="2"/>
  <c r="M37" i="2"/>
  <c r="M32" i="2"/>
  <c r="M28" i="2"/>
  <c r="M25" i="2"/>
  <c r="M21" i="2"/>
  <c r="M16" i="2"/>
  <c r="M12" i="2"/>
  <c r="M8" i="2"/>
  <c r="M42" i="2"/>
  <c r="M38" i="2"/>
  <c r="M36" i="2"/>
  <c r="M33" i="2"/>
  <c r="M29" i="2"/>
  <c r="M26" i="2"/>
  <c r="M24" i="2"/>
  <c r="M22" i="2"/>
  <c r="M20" i="2"/>
  <c r="M17" i="2"/>
  <c r="M13" i="2"/>
  <c r="M9" i="2"/>
  <c r="M7" i="2"/>
  <c r="L35" i="2"/>
  <c r="N35" i="2" s="1"/>
  <c r="M31" i="2"/>
  <c r="N42" i="2"/>
  <c r="N29" i="2"/>
  <c r="M15" i="2"/>
  <c r="M6" i="2"/>
  <c r="N6" i="2"/>
  <c r="M23" i="2"/>
  <c r="N13" i="2"/>
  <c r="N45" i="2"/>
  <c r="N38" i="2"/>
  <c r="N46" i="2"/>
  <c r="N34" i="2"/>
  <c r="N10" i="2"/>
  <c r="N50" i="2"/>
  <c r="M47" i="2"/>
  <c r="M39" i="2"/>
  <c r="N22" i="2"/>
  <c r="N18" i="2"/>
  <c r="M11" i="2"/>
  <c r="N49" i="2"/>
  <c r="N21" i="2"/>
  <c r="N17" i="2"/>
  <c r="N48" i="2"/>
  <c r="N44" i="2"/>
  <c r="I6" i="2" l="1"/>
  <c r="I13" i="2"/>
  <c r="I25" i="2"/>
  <c r="I40" i="2"/>
  <c r="I16" i="2"/>
  <c r="I50" i="2"/>
  <c r="I33" i="2"/>
  <c r="I10" i="2"/>
  <c r="I45" i="2"/>
  <c r="I44" i="2"/>
  <c r="I30" i="2"/>
  <c r="H50" i="4"/>
  <c r="I22" i="2"/>
  <c r="I34" i="2"/>
  <c r="I28" i="2"/>
  <c r="I9" i="2"/>
  <c r="I12" i="2"/>
  <c r="I31" i="2"/>
  <c r="I8" i="2"/>
  <c r="I43" i="2"/>
  <c r="I11" i="2"/>
  <c r="I32" i="2"/>
  <c r="K50" i="4"/>
  <c r="J50" i="4"/>
  <c r="I42" i="2"/>
  <c r="I18" i="2"/>
  <c r="I46" i="2"/>
  <c r="I39" i="2"/>
  <c r="I20" i="2"/>
  <c r="I41" i="2"/>
  <c r="L50" i="4"/>
  <c r="I29" i="2"/>
  <c r="I14" i="2"/>
  <c r="N50" i="4"/>
  <c r="I36" i="2"/>
  <c r="I24" i="2"/>
  <c r="I49" i="2"/>
  <c r="I37" i="2"/>
  <c r="I21" i="2"/>
  <c r="I38" i="2"/>
  <c r="I23" i="2"/>
  <c r="I48" i="2"/>
  <c r="I50" i="4"/>
  <c r="M50" i="4"/>
  <c r="O50" i="4"/>
  <c r="L52" i="2"/>
  <c r="N51" i="2"/>
  <c r="N52" i="2" s="1"/>
  <c r="K52" i="2"/>
  <c r="M51" i="2"/>
  <c r="M52" i="2" s="1"/>
  <c r="G19" i="2" l="1"/>
  <c r="H49" i="2"/>
  <c r="Q49" i="2"/>
  <c r="P49" i="2"/>
  <c r="H45" i="2"/>
  <c r="Q45" i="2"/>
  <c r="P45" i="2"/>
  <c r="P41" i="2"/>
  <c r="Q41" i="2"/>
  <c r="H37" i="2"/>
  <c r="Q37" i="2"/>
  <c r="P37" i="2"/>
  <c r="Q32" i="2"/>
  <c r="P32" i="2"/>
  <c r="H32" i="2"/>
  <c r="F35" i="2"/>
  <c r="P28" i="2"/>
  <c r="H28" i="2"/>
  <c r="Q28" i="2"/>
  <c r="Q23" i="2"/>
  <c r="P23" i="2"/>
  <c r="H23" i="2"/>
  <c r="H18" i="2"/>
  <c r="P18" i="2"/>
  <c r="Q18" i="2"/>
  <c r="Q14" i="2"/>
  <c r="H14" i="2"/>
  <c r="P14" i="2"/>
  <c r="H10" i="2"/>
  <c r="P10" i="2"/>
  <c r="Q10" i="2"/>
  <c r="G27" i="2"/>
  <c r="F19" i="2"/>
  <c r="H6" i="2"/>
  <c r="P6" i="2"/>
  <c r="Q6" i="2"/>
  <c r="P48" i="2"/>
  <c r="H48" i="2"/>
  <c r="Q48" i="2"/>
  <c r="P44" i="2"/>
  <c r="Q44" i="2"/>
  <c r="H44" i="2"/>
  <c r="H40" i="2"/>
  <c r="Q40" i="2"/>
  <c r="P40" i="2"/>
  <c r="F51" i="2"/>
  <c r="P36" i="2"/>
  <c r="H36" i="2"/>
  <c r="Q36" i="2"/>
  <c r="P31" i="2"/>
  <c r="H31" i="2"/>
  <c r="Q31" i="2"/>
  <c r="H26" i="2"/>
  <c r="Q26" i="2"/>
  <c r="P26" i="2"/>
  <c r="Q22" i="2"/>
  <c r="P22" i="2"/>
  <c r="H22" i="2"/>
  <c r="H17" i="2"/>
  <c r="P17" i="2"/>
  <c r="Q17" i="2"/>
  <c r="H13" i="2"/>
  <c r="Q13" i="2"/>
  <c r="P13" i="2"/>
  <c r="Q9" i="2"/>
  <c r="H9" i="2"/>
  <c r="P9" i="2"/>
  <c r="H41" i="2"/>
  <c r="G35" i="2"/>
  <c r="H47" i="2"/>
  <c r="Q47" i="2"/>
  <c r="P47" i="2"/>
  <c r="H43" i="2"/>
  <c r="P43" i="2"/>
  <c r="Q43" i="2"/>
  <c r="P39" i="2"/>
  <c r="Q39" i="2"/>
  <c r="H39" i="2"/>
  <c r="Q34" i="2"/>
  <c r="P34" i="2"/>
  <c r="H34" i="2"/>
  <c r="H30" i="2"/>
  <c r="P30" i="2"/>
  <c r="Q30" i="2"/>
  <c r="Q25" i="2"/>
  <c r="P25" i="2"/>
  <c r="H25" i="2"/>
  <c r="P21" i="2"/>
  <c r="Q21" i="2"/>
  <c r="H21" i="2"/>
  <c r="H16" i="2"/>
  <c r="Q16" i="2"/>
  <c r="P16" i="2"/>
  <c r="Q12" i="2"/>
  <c r="P12" i="2"/>
  <c r="H12" i="2"/>
  <c r="H8" i="2"/>
  <c r="Q8" i="2"/>
  <c r="P8" i="2"/>
  <c r="P50" i="2"/>
  <c r="Q50" i="2"/>
  <c r="H50" i="2"/>
  <c r="Q46" i="2"/>
  <c r="P46" i="2"/>
  <c r="H46" i="2"/>
  <c r="Q42" i="2"/>
  <c r="P42" i="2"/>
  <c r="H42" i="2"/>
  <c r="H38" i="2"/>
  <c r="P38" i="2"/>
  <c r="Q38" i="2"/>
  <c r="H33" i="2"/>
  <c r="P33" i="2"/>
  <c r="Q33" i="2"/>
  <c r="H29" i="2"/>
  <c r="Q29" i="2"/>
  <c r="P29" i="2"/>
  <c r="Q24" i="2"/>
  <c r="H24" i="2"/>
  <c r="P24" i="2"/>
  <c r="F27" i="2"/>
  <c r="P20" i="2"/>
  <c r="H20" i="2"/>
  <c r="Q20" i="2"/>
  <c r="P15" i="2"/>
  <c r="Q15" i="2"/>
  <c r="H15" i="2"/>
  <c r="H11" i="2"/>
  <c r="Q11" i="2"/>
  <c r="P11" i="2"/>
  <c r="Q7" i="2"/>
  <c r="H7" i="2"/>
  <c r="P7" i="2"/>
  <c r="G51" i="2"/>
  <c r="I19" i="2" l="1"/>
  <c r="I35" i="2"/>
  <c r="I51" i="2"/>
  <c r="I27" i="2"/>
  <c r="H35" i="2"/>
  <c r="G52" i="2"/>
  <c r="Q27" i="2"/>
  <c r="P27" i="2"/>
  <c r="H27" i="2"/>
  <c r="Q35" i="2"/>
  <c r="P35" i="2"/>
  <c r="H51" i="2"/>
  <c r="P51" i="2"/>
  <c r="F52" i="2"/>
  <c r="Q51" i="2"/>
  <c r="Q19" i="2"/>
  <c r="P19" i="2"/>
  <c r="H19" i="2"/>
  <c r="I52" i="2" l="1"/>
  <c r="P52" i="2"/>
  <c r="Q52" i="2"/>
  <c r="H52" i="2"/>
</calcChain>
</file>

<file path=xl/connections.xml><?xml version="1.0" encoding="utf-8"?>
<connections xmlns="http://schemas.openxmlformats.org/spreadsheetml/2006/main">
  <connection id="1" name="Beddays" type="1" refreshedVersion="4" background="1" saveData="1">
    <dbPr connection="DSN=PSD;Description=PSD;UID=RabbittsJ;Trusted_Connection=Yes;APP=Microsoft Office 2010;WSID=PC19814;DATABASE=PSD" command="SELECT KPI_C12.ind_id, KPI_C12.period_code, RTrim(KPI_C12.ward_code_original) as ward_code_original, Sum(KPI_C12.numerator) AS 'beddays_occupied', Sum(KPI_C12.denominator) AS 'beddays_available'_x000d__x000a_FROM PSD.dbo.KPI_C12 KPI_C12_x000d__x000a_WHERE (KPI_C12.period_code=201908)_x000d__x000a_GROUP BY KPI_C12.ind_id, KPI_C12.period_code, KPI_C12.ward_code_original"/>
  </connection>
</connections>
</file>

<file path=xl/sharedStrings.xml><?xml version="1.0" encoding="utf-8"?>
<sst xmlns="http://schemas.openxmlformats.org/spreadsheetml/2006/main" count="1064" uniqueCount="281">
  <si>
    <t>Name</t>
  </si>
  <si>
    <t>Day Reg Planned Hrs</t>
  </si>
  <si>
    <t>Day Reg Actual Hrs</t>
  </si>
  <si>
    <t>Day Unreg Planned Hrs</t>
  </si>
  <si>
    <t>Day Unreg Actual Hrs</t>
  </si>
  <si>
    <t>Night Reg Planned Hrs</t>
  </si>
  <si>
    <t>Night Reg Actual Hrs</t>
  </si>
  <si>
    <t>Night Unreg Planned Hrs</t>
  </si>
  <si>
    <t>Night Unreg Actual Hrs</t>
  </si>
  <si>
    <t>Day Reg Fill Rate</t>
  </si>
  <si>
    <t>Day Unreg Fill Rate</t>
  </si>
  <si>
    <t>Night Reg Fill Rate</t>
  </si>
  <si>
    <t>Night Unreg Fill Rate</t>
  </si>
  <si>
    <t>A515 109008</t>
  </si>
  <si>
    <t>A605 127811</t>
  </si>
  <si>
    <t>A522 109011</t>
  </si>
  <si>
    <t>A528 109005</t>
  </si>
  <si>
    <t>C808 125906</t>
  </si>
  <si>
    <t>A518 127810</t>
  </si>
  <si>
    <t>A400 127808</t>
  </si>
  <si>
    <t>A300 127809</t>
  </si>
  <si>
    <t>A900 127807</t>
  </si>
  <si>
    <t>A524 109012</t>
  </si>
  <si>
    <t>A525 127817</t>
  </si>
  <si>
    <t>Ward 100 127050</t>
  </si>
  <si>
    <t>Ward 200 127051</t>
  </si>
  <si>
    <t>C805 BHI Cardiology 101953</t>
  </si>
  <si>
    <t>C603 Coronary Care Unit 109007</t>
  </si>
  <si>
    <t>C708 101952</t>
  </si>
  <si>
    <t>C705 101951</t>
  </si>
  <si>
    <t>C604 (CICU Cardiac Intensive Care) 101141</t>
  </si>
  <si>
    <t>D603 Ward 61 104008</t>
  </si>
  <si>
    <t>D703 Ward 62 104009</t>
  </si>
  <si>
    <t>Ward 76 102075</t>
  </si>
  <si>
    <t>CDS - Ward 77 102068</t>
  </si>
  <si>
    <t>Ward 73 102074</t>
  </si>
  <si>
    <t>Midwifery Led Unit 102177</t>
  </si>
  <si>
    <t>Ward 78 102078</t>
  </si>
  <si>
    <t>NICU 102077</t>
  </si>
  <si>
    <t>A700 101189</t>
  </si>
  <si>
    <t>A600 101107</t>
  </si>
  <si>
    <t>A800 101190</t>
  </si>
  <si>
    <t>A604 101192</t>
  </si>
  <si>
    <t>A609 101193</t>
  </si>
  <si>
    <t>A602 101179</t>
  </si>
  <si>
    <t>Diff</t>
  </si>
  <si>
    <t xml:space="preserve">Total Actual </t>
  </si>
  <si>
    <t>Total Planned</t>
  </si>
  <si>
    <t xml:space="preserve">Total Fill </t>
  </si>
  <si>
    <t>Total Diff</t>
  </si>
  <si>
    <t xml:space="preserve">Medicine Total </t>
  </si>
  <si>
    <t xml:space="preserve">Specialised ServicesTotal </t>
  </si>
  <si>
    <t xml:space="preserve">Surgery Total </t>
  </si>
  <si>
    <t>Code</t>
  </si>
  <si>
    <t>125906</t>
  </si>
  <si>
    <t>127809</t>
  </si>
  <si>
    <t>127808</t>
  </si>
  <si>
    <t>109008</t>
  </si>
  <si>
    <t>127810</t>
  </si>
  <si>
    <t>109011</t>
  </si>
  <si>
    <t>109012</t>
  </si>
  <si>
    <t>127817</t>
  </si>
  <si>
    <t>109005</t>
  </si>
  <si>
    <t>127811</t>
  </si>
  <si>
    <t>127807</t>
  </si>
  <si>
    <t>127050</t>
  </si>
  <si>
    <t>127051</t>
  </si>
  <si>
    <t>109007</t>
  </si>
  <si>
    <t>101141</t>
  </si>
  <si>
    <t>101951</t>
  </si>
  <si>
    <t>101952</t>
  </si>
  <si>
    <t>101953</t>
  </si>
  <si>
    <t>104008</t>
  </si>
  <si>
    <t>104009</t>
  </si>
  <si>
    <t>103101</t>
  </si>
  <si>
    <t>101107</t>
  </si>
  <si>
    <t>101179</t>
  </si>
  <si>
    <t>101192</t>
  </si>
  <si>
    <t>101193</t>
  </si>
  <si>
    <t>101189</t>
  </si>
  <si>
    <t>101190</t>
  </si>
  <si>
    <t>102043</t>
  </si>
  <si>
    <t>102251</t>
  </si>
  <si>
    <t>102041</t>
  </si>
  <si>
    <t>102033</t>
  </si>
  <si>
    <t>102262</t>
  </si>
  <si>
    <t>102260</t>
  </si>
  <si>
    <t>102034</t>
  </si>
  <si>
    <t>102240</t>
  </si>
  <si>
    <t>102266</t>
  </si>
  <si>
    <t>102177</t>
  </si>
  <si>
    <t>102074</t>
  </si>
  <si>
    <t>102077</t>
  </si>
  <si>
    <t>102075</t>
  </si>
  <si>
    <t>102068</t>
  </si>
  <si>
    <t>102078</t>
  </si>
  <si>
    <t>C808</t>
  </si>
  <si>
    <t>A300</t>
  </si>
  <si>
    <t>A400</t>
  </si>
  <si>
    <t>A515</t>
  </si>
  <si>
    <t>A518</t>
  </si>
  <si>
    <t>A522</t>
  </si>
  <si>
    <t>A524</t>
  </si>
  <si>
    <t>A525</t>
  </si>
  <si>
    <t>A528</t>
  </si>
  <si>
    <t>A605</t>
  </si>
  <si>
    <t>A900</t>
  </si>
  <si>
    <t>100</t>
  </si>
  <si>
    <t>200</t>
  </si>
  <si>
    <t>C603</t>
  </si>
  <si>
    <t>C604</t>
  </si>
  <si>
    <t>C705</t>
  </si>
  <si>
    <t>C708</t>
  </si>
  <si>
    <t>C805</t>
  </si>
  <si>
    <t>D603</t>
  </si>
  <si>
    <t>D703</t>
  </si>
  <si>
    <t>H304A</t>
  </si>
  <si>
    <t>A600</t>
  </si>
  <si>
    <t>A602</t>
  </si>
  <si>
    <t>A604</t>
  </si>
  <si>
    <t>A609</t>
  </si>
  <si>
    <t>A700</t>
  </si>
  <si>
    <t>A800</t>
  </si>
  <si>
    <t>PICU</t>
  </si>
  <si>
    <t>MLU</t>
  </si>
  <si>
    <t>73</t>
  </si>
  <si>
    <t>75</t>
  </si>
  <si>
    <t>76</t>
  </si>
  <si>
    <t>77</t>
  </si>
  <si>
    <t>78</t>
  </si>
  <si>
    <t>CC Code</t>
  </si>
  <si>
    <t>Occupied</t>
  </si>
  <si>
    <t>Available</t>
  </si>
  <si>
    <t>ind_id</t>
  </si>
  <si>
    <t>period_code</t>
  </si>
  <si>
    <t>ward_code_original</t>
  </si>
  <si>
    <t>beddays_occupied</t>
  </si>
  <si>
    <t>beddays_available</t>
  </si>
  <si>
    <t>C12</t>
  </si>
  <si>
    <t>77A</t>
  </si>
  <si>
    <t>A332A</t>
  </si>
  <si>
    <t>A414</t>
  </si>
  <si>
    <t>A608A</t>
  </si>
  <si>
    <t>B301</t>
  </si>
  <si>
    <t>P1</t>
  </si>
  <si>
    <t>A606</t>
  </si>
  <si>
    <t>Hours</t>
  </si>
  <si>
    <t>Actual</t>
  </si>
  <si>
    <t>Plan</t>
  </si>
  <si>
    <t>Fill Rate</t>
  </si>
  <si>
    <t>Beddays (Total)</t>
  </si>
  <si>
    <t>Days In Month</t>
  </si>
  <si>
    <t>Average Daily</t>
  </si>
  <si>
    <t>CHPPD</t>
  </si>
  <si>
    <t>Cost Centre</t>
  </si>
  <si>
    <t>Ward</t>
  </si>
  <si>
    <t>Women's and Children's Total</t>
  </si>
  <si>
    <t>Trust Total</t>
  </si>
  <si>
    <t>Div</t>
  </si>
  <si>
    <t>MDC</t>
  </si>
  <si>
    <t>SPS</t>
  </si>
  <si>
    <t>SHN</t>
  </si>
  <si>
    <t>WAC</t>
  </si>
  <si>
    <t>Site</t>
  </si>
  <si>
    <t>BRI</t>
  </si>
  <si>
    <t>SBH</t>
  </si>
  <si>
    <t>BOC</t>
  </si>
  <si>
    <t>BEH</t>
  </si>
  <si>
    <t>BCH</t>
  </si>
  <si>
    <t>STM</t>
  </si>
  <si>
    <t>Dir</t>
  </si>
  <si>
    <t>CAR</t>
  </si>
  <si>
    <t>ONC</t>
  </si>
  <si>
    <t>ITU</t>
  </si>
  <si>
    <t>TOR</t>
  </si>
  <si>
    <t>GIS</t>
  </si>
  <si>
    <t>ENT</t>
  </si>
  <si>
    <t>CHI</t>
  </si>
  <si>
    <t>WOM</t>
  </si>
  <si>
    <t>RN Day</t>
  </si>
  <si>
    <t>RN Night</t>
  </si>
  <si>
    <t>NA Day</t>
  </si>
  <si>
    <t>NA Night</t>
  </si>
  <si>
    <t>Period</t>
  </si>
  <si>
    <t>RA701</t>
  </si>
  <si>
    <t>300 - GENERAL MEDICINE</t>
  </si>
  <si>
    <t>CICU</t>
  </si>
  <si>
    <t>170 - CARDIOTHORACIC SURGERY</t>
  </si>
  <si>
    <t/>
  </si>
  <si>
    <t>2</t>
  </si>
  <si>
    <t>100 - GENERAL SURGERY</t>
  </si>
  <si>
    <t>9</t>
  </si>
  <si>
    <t>18</t>
  </si>
  <si>
    <t>110 - TRAUMA &amp; ORTHOPAEDICS</t>
  </si>
  <si>
    <t>14</t>
  </si>
  <si>
    <t>320 - CARDIOLOGY</t>
  </si>
  <si>
    <t>RA723</t>
  </si>
  <si>
    <t>321 - PAEDIATRIC CARDIOLOGY</t>
  </si>
  <si>
    <t>420 - PAEDIATRICS</t>
  </si>
  <si>
    <t>171 - PAEDIATRIC SURGERY</t>
  </si>
  <si>
    <t>74</t>
  </si>
  <si>
    <t>RA707</t>
  </si>
  <si>
    <t>501 - OBSTETRICS</t>
  </si>
  <si>
    <t>502 - GYNAECOLOGY</t>
  </si>
  <si>
    <t>361 - NEPHROLOGY</t>
  </si>
  <si>
    <t>421 - PAEDIATRIC NEUROLOGY</t>
  </si>
  <si>
    <t>800 - CLINICAL ONCOLOGY</t>
  </si>
  <si>
    <t>823 - HAEMATOLOGY</t>
  </si>
  <si>
    <t>41</t>
  </si>
  <si>
    <t>RA708</t>
  </si>
  <si>
    <t>130 - OPHTHALMOLOGY</t>
  </si>
  <si>
    <t>RA710</t>
  </si>
  <si>
    <t>303 - CLINICAL HAEMATOLOGY</t>
  </si>
  <si>
    <t>23</t>
  </si>
  <si>
    <t>430 - GERIATRIC MEDICINE</t>
  </si>
  <si>
    <t>B404</t>
  </si>
  <si>
    <t>17</t>
  </si>
  <si>
    <t>21</t>
  </si>
  <si>
    <t>26</t>
  </si>
  <si>
    <t>12</t>
  </si>
  <si>
    <t>4</t>
  </si>
  <si>
    <t>RA773</t>
  </si>
  <si>
    <t>314 - REHABILITATION</t>
  </si>
  <si>
    <t>B401</t>
  </si>
  <si>
    <t>B501</t>
  </si>
  <si>
    <t>B504</t>
  </si>
  <si>
    <t>Day</t>
  </si>
  <si>
    <t>RN Exp</t>
  </si>
  <si>
    <t>RN Act</t>
  </si>
  <si>
    <t>NA Exp</t>
  </si>
  <si>
    <t>NA Act</t>
  </si>
  <si>
    <t>Night</t>
  </si>
  <si>
    <t>H304 103101</t>
  </si>
  <si>
    <t>Difference</t>
  </si>
  <si>
    <t>-</t>
  </si>
  <si>
    <t>E400 Seahorse Intensive Care Unit (PICU) 102043</t>
  </si>
  <si>
    <t>E510 Caterpillar Ward (Ward 30) 102251</t>
  </si>
  <si>
    <t>E602 Penguin Ward (Ward 31) 102041</t>
  </si>
  <si>
    <t>E600 Dolphin Ward (Ward 32) 102033</t>
  </si>
  <si>
    <t>E512 Daisy Ward (Ward 33) 102262</t>
  </si>
  <si>
    <t>E700 Starlight Ward (Ward 34) 102260</t>
  </si>
  <si>
    <t>E702 Apollo 35 Ward (Ward 35) 102034</t>
  </si>
  <si>
    <t>E406 Lighthouse Ward (Ward 37) 102240</t>
  </si>
  <si>
    <t>E500 Bluebell Ward / E501 Sunflower Ward (Ward 38) 102266</t>
  </si>
  <si>
    <t>E400</t>
  </si>
  <si>
    <t>E406A</t>
  </si>
  <si>
    <t>E510</t>
  </si>
  <si>
    <t>E702</t>
  </si>
  <si>
    <t>E307</t>
  </si>
  <si>
    <t>E500</t>
  </si>
  <si>
    <t>E501</t>
  </si>
  <si>
    <t>E512</t>
  </si>
  <si>
    <t>E600</t>
  </si>
  <si>
    <t>E602</t>
  </si>
  <si>
    <t>E700</t>
  </si>
  <si>
    <t>E406</t>
  </si>
  <si>
    <t>E500/1</t>
  </si>
  <si>
    <t>A413</t>
  </si>
  <si>
    <t>Bristol Royal Infirmary</t>
  </si>
  <si>
    <t>Bristol Royal Hospital For Children</t>
  </si>
  <si>
    <t>St Michael's Hospital</t>
  </si>
  <si>
    <t>Bristol Eye Hospital</t>
  </si>
  <si>
    <t>Bristol Haematology and Oncology Centre</t>
  </si>
  <si>
    <t>A512</t>
  </si>
  <si>
    <t>C602</t>
  </si>
  <si>
    <t>DAU</t>
  </si>
  <si>
    <t>E518</t>
  </si>
  <si>
    <t xml:space="preserve">Childrens Total </t>
  </si>
  <si>
    <t xml:space="preserve">Womens Total </t>
  </si>
  <si>
    <t xml:space="preserve">Trust Total </t>
  </si>
  <si>
    <t xml:space="preserve">Medicine total </t>
  </si>
  <si>
    <t xml:space="preserve">Specialised Total </t>
  </si>
  <si>
    <t>A520A</t>
  </si>
  <si>
    <t>P4</t>
  </si>
  <si>
    <t>THTC</t>
  </si>
  <si>
    <t>60N</t>
  </si>
  <si>
    <t>D1</t>
  </si>
  <si>
    <t>E608</t>
  </si>
  <si>
    <t>P15</t>
  </si>
  <si>
    <t>SDU</t>
  </si>
  <si>
    <t>Head of Nursing Comments where the total fill rate is  75% or 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</si>
</sst>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2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theme="0" tint="-0.34998626667073579"/>
      <name val="Calibri"/>
      <family val="2"/>
    </font>
    <font>
      <sz val="11"/>
      <color theme="0" tint="-0.499984740745262"/>
      <name val="Calibri"/>
      <family val="2"/>
    </font>
    <font>
      <b/>
      <sz val="11"/>
      <color theme="0" tint="-0.499984740745262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7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3" fillId="0" borderId="0" xfId="0" applyFont="1"/>
    <xf numFmtId="0" fontId="0" fillId="3" borderId="2" xfId="0" applyFill="1" applyBorder="1" applyAlignment="1">
      <alignment wrapText="1"/>
    </xf>
    <xf numFmtId="1" fontId="0" fillId="3" borderId="3" xfId="0" applyNumberFormat="1" applyFill="1" applyBorder="1" applyAlignment="1">
      <alignment horizontal="center" wrapText="1"/>
    </xf>
    <xf numFmtId="9" fontId="0" fillId="3" borderId="3" xfId="0" applyNumberFormat="1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" fontId="0" fillId="3" borderId="4" xfId="0" applyNumberFormat="1" applyFill="1" applyBorder="1" applyAlignment="1">
      <alignment horizontal="center" wrapText="1"/>
    </xf>
    <xf numFmtId="0" fontId="2" fillId="0" borderId="0" xfId="1"/>
    <xf numFmtId="0" fontId="4" fillId="0" borderId="0" xfId="1" applyFont="1"/>
    <xf numFmtId="0" fontId="2" fillId="0" borderId="0" xfId="1" quotePrefix="1"/>
    <xf numFmtId="0" fontId="5" fillId="0" borderId="0" xfId="0" applyFont="1" applyAlignment="1">
      <alignment horizontal="right"/>
    </xf>
    <xf numFmtId="0" fontId="3" fillId="2" borderId="7" xfId="0" applyFont="1" applyFill="1" applyBorder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quotePrefix="1" applyBorder="1"/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3" fillId="5" borderId="8" xfId="0" applyFont="1" applyFill="1" applyBorder="1"/>
    <xf numFmtId="0" fontId="6" fillId="0" borderId="0" xfId="0" applyFont="1"/>
    <xf numFmtId="0" fontId="3" fillId="5" borderId="9" xfId="0" applyFont="1" applyFill="1" applyBorder="1"/>
    <xf numFmtId="0" fontId="3" fillId="5" borderId="6" xfId="0" applyFont="1" applyFill="1" applyBorder="1"/>
    <xf numFmtId="164" fontId="3" fillId="5" borderId="10" xfId="0" applyNumberFormat="1" applyFont="1" applyFill="1" applyBorder="1" applyAlignment="1">
      <alignment horizontal="center"/>
    </xf>
    <xf numFmtId="3" fontId="3" fillId="5" borderId="11" xfId="0" applyNumberFormat="1" applyFont="1" applyFill="1" applyBorder="1" applyAlignment="1">
      <alignment horizontal="center"/>
    </xf>
    <xf numFmtId="3" fontId="3" fillId="5" borderId="12" xfId="0" applyNumberFormat="1" applyFont="1" applyFill="1" applyBorder="1" applyAlignment="1">
      <alignment horizontal="center"/>
    </xf>
    <xf numFmtId="4" fontId="3" fillId="5" borderId="10" xfId="0" applyNumberFormat="1" applyFont="1" applyFill="1" applyBorder="1" applyAlignment="1">
      <alignment horizontal="center"/>
    </xf>
    <xf numFmtId="4" fontId="3" fillId="5" borderId="12" xfId="0" applyNumberFormat="1" applyFont="1" applyFill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6" fillId="0" borderId="6" xfId="0" applyFont="1" applyBorder="1"/>
    <xf numFmtId="164" fontId="6" fillId="0" borderId="10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3" fillId="5" borderId="10" xfId="0" applyNumberFormat="1" applyFont="1" applyFill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" fontId="6" fillId="0" borderId="12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8" xfId="0" applyBorder="1"/>
    <xf numFmtId="0" fontId="0" fillId="0" borderId="8" xfId="0" quotePrefix="1" applyBorder="1"/>
    <xf numFmtId="0" fontId="0" fillId="0" borderId="0" xfId="0" quotePrefix="1"/>
    <xf numFmtId="0" fontId="0" fillId="0" borderId="0" xfId="0" applyBorder="1"/>
    <xf numFmtId="0" fontId="0" fillId="0" borderId="0" xfId="0" applyBorder="1" applyAlignment="1" applyProtection="1">
      <alignment horizontal="left" vertical="center" wrapText="1"/>
      <protection locked="0"/>
    </xf>
    <xf numFmtId="1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10" fontId="0" fillId="4" borderId="1" xfId="0" applyNumberFormat="1" applyFill="1" applyBorder="1" applyAlignment="1">
      <alignment horizontal="center"/>
    </xf>
    <xf numFmtId="9" fontId="0" fillId="4" borderId="1" xfId="2" applyFont="1" applyFill="1" applyBorder="1" applyAlignment="1">
      <alignment horizontal="center"/>
    </xf>
    <xf numFmtId="0" fontId="8" fillId="0" borderId="0" xfId="0" applyFont="1"/>
    <xf numFmtId="0" fontId="7" fillId="0" borderId="1" xfId="0" quotePrefix="1" applyFont="1" applyBorder="1"/>
    <xf numFmtId="1" fontId="9" fillId="0" borderId="0" xfId="0" applyNumberFormat="1" applyFont="1" applyAlignment="1">
      <alignment horizontal="center"/>
    </xf>
    <xf numFmtId="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4" borderId="1" xfId="0" applyFont="1" applyFill="1" applyBorder="1"/>
    <xf numFmtId="1" fontId="3" fillId="4" borderId="1" xfId="0" applyNumberFormat="1" applyFont="1" applyFill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9" fontId="3" fillId="4" borderId="1" xfId="2" applyFont="1" applyFill="1" applyBorder="1" applyAlignment="1">
      <alignment horizontal="center"/>
    </xf>
    <xf numFmtId="1" fontId="9" fillId="3" borderId="5" xfId="0" applyNumberFormat="1" applyFont="1" applyFill="1" applyBorder="1" applyAlignment="1">
      <alignment horizontal="center" wrapText="1"/>
    </xf>
    <xf numFmtId="1" fontId="9" fillId="3" borderId="3" xfId="0" applyNumberFormat="1" applyFont="1" applyFill="1" applyBorder="1" applyAlignment="1">
      <alignment horizontal="center" wrapText="1"/>
    </xf>
    <xf numFmtId="9" fontId="9" fillId="3" borderId="3" xfId="0" applyNumberFormat="1" applyFont="1" applyFill="1" applyBorder="1" applyAlignment="1">
      <alignment horizontal="center" wrapText="1"/>
    </xf>
    <xf numFmtId="1" fontId="9" fillId="3" borderId="4" xfId="0" applyNumberFormat="1" applyFont="1" applyFill="1" applyBorder="1" applyAlignment="1">
      <alignment horizontal="center" wrapText="1"/>
    </xf>
    <xf numFmtId="1" fontId="9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9" fontId="9" fillId="4" borderId="1" xfId="0" applyNumberFormat="1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9" fontId="10" fillId="4" borderId="1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3" fillId="5" borderId="12" xfId="0" applyNumberFormat="1" applyFont="1" applyFill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3" fillId="5" borderId="11" xfId="0" applyNumberFormat="1" applyFont="1" applyFill="1" applyBorder="1" applyAlignment="1">
      <alignment horizontal="center"/>
    </xf>
    <xf numFmtId="165" fontId="6" fillId="0" borderId="11" xfId="0" applyNumberFormat="1" applyFont="1" applyBorder="1" applyAlignment="1">
      <alignment horizontal="center"/>
    </xf>
    <xf numFmtId="1" fontId="0" fillId="0" borderId="0" xfId="0" applyNumberFormat="1"/>
    <xf numFmtId="0" fontId="7" fillId="0" borderId="1" xfId="0" applyFont="1" applyBorder="1"/>
    <xf numFmtId="1" fontId="0" fillId="3" borderId="5" xfId="0" applyNumberFormat="1" applyFill="1" applyBorder="1" applyAlignment="1">
      <alignment horizontal="center" wrapText="1"/>
    </xf>
    <xf numFmtId="1" fontId="0" fillId="0" borderId="6" xfId="0" applyNumberFormat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1" fontId="3" fillId="4" borderId="6" xfId="0" applyNumberFormat="1" applyFont="1" applyFill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1" fontId="9" fillId="4" borderId="6" xfId="0" applyNumberFormat="1" applyFont="1" applyFill="1" applyBorder="1" applyAlignment="1">
      <alignment horizontal="center"/>
    </xf>
    <xf numFmtId="1" fontId="10" fillId="4" borderId="6" xfId="0" applyNumberFormat="1" applyFont="1" applyFill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4" borderId="15" xfId="0" applyNumberForma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0" fontId="2" fillId="0" borderId="0" xfId="1" applyFill="1"/>
    <xf numFmtId="0" fontId="7" fillId="0" borderId="0" xfId="0" applyFont="1"/>
    <xf numFmtId="0" fontId="11" fillId="0" borderId="0" xfId="1" applyFont="1"/>
    <xf numFmtId="0" fontId="1" fillId="0" borderId="0" xfId="1" applyFont="1"/>
    <xf numFmtId="0" fontId="7" fillId="0" borderId="0" xfId="0" applyFont="1" applyBorder="1"/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3" borderId="1" xfId="0" applyFill="1" applyBorder="1"/>
  </cellXfs>
  <cellStyles count="3">
    <cellStyle name="Normal" xfId="0" builtinId="0"/>
    <cellStyle name="Normal 2" xfId="1"/>
    <cellStyle name="Percent" xfId="2" builtinId="5"/>
  </cellStyles>
  <dxfs count="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9525</xdr:colOff>
      <xdr:row>2</xdr:row>
      <xdr:rowOff>9525</xdr:rowOff>
    </xdr:from>
    <xdr:to>
      <xdr:col>24</xdr:col>
      <xdr:colOff>428625</xdr:colOff>
      <xdr:row>2</xdr:row>
      <xdr:rowOff>19050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390525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Query from PSD" connectionId="1" autoFormatId="16" applyNumberFormats="0" applyBorderFormats="0" applyFontFormats="0" applyPatternFormats="0" applyAlignmentFormats="0" applyWidthHeightFormats="0">
  <queryTableRefresh nextId="13">
    <queryTableFields count="5">
      <queryTableField id="1" name="ind_id" tableColumnId="1"/>
      <queryTableField id="2" name="period_code" tableColumnId="2"/>
      <queryTableField id="11" name="ward_code_original" tableColumnId="6"/>
      <queryTableField id="4" name="beddays_occupied" tableColumnId="4"/>
      <queryTableField id="5" name="beddays_availabl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Query_from_PSD" displayName="Table_Query_from_PSD" ref="A1:E65" tableType="queryTable" totalsRowShown="0" headerRowDxfId="5">
  <autoFilter ref="A1:E65"/>
  <tableColumns count="5">
    <tableColumn id="1" uniqueName="1" name="ind_id" queryTableFieldId="1" dataDxfId="4" dataCellStyle="Normal 2"/>
    <tableColumn id="2" uniqueName="2" name="period_code" queryTableFieldId="2" dataDxfId="3" dataCellStyle="Normal 2"/>
    <tableColumn id="6" uniqueName="6" name="ward_code_original" queryTableFieldId="11" dataDxfId="2" dataCellStyle="Normal 2"/>
    <tableColumn id="4" uniqueName="4" name="beddays_occupied" queryTableFieldId="4" dataDxfId="1" dataCellStyle="Normal 2"/>
    <tableColumn id="5" uniqueName="5" name="beddays_available" queryTableFieldId="5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"/>
  <sheetViews>
    <sheetView workbookViewId="0"/>
  </sheetViews>
  <sheetFormatPr defaultRowHeight="15"/>
  <cols>
    <col min="2" max="2" width="38.5703125" bestFit="1" customWidth="1"/>
    <col min="25" max="25" width="41.42578125" customWidth="1"/>
    <col min="26" max="26" width="26" customWidth="1"/>
  </cols>
  <sheetData>
    <row r="1" spans="1:27">
      <c r="I1" t="s">
        <v>226</v>
      </c>
      <c r="M1" t="s">
        <v>231</v>
      </c>
    </row>
    <row r="2" spans="1:27">
      <c r="A2" s="19" t="s">
        <v>130</v>
      </c>
      <c r="B2" s="19" t="s">
        <v>154</v>
      </c>
      <c r="C2" s="55" t="s">
        <v>155</v>
      </c>
      <c r="I2" t="s">
        <v>227</v>
      </c>
      <c r="J2" t="s">
        <v>228</v>
      </c>
      <c r="K2" t="s">
        <v>229</v>
      </c>
      <c r="L2" t="s">
        <v>230</v>
      </c>
      <c r="M2" t="s">
        <v>227</v>
      </c>
      <c r="N2" t="s">
        <v>228</v>
      </c>
      <c r="O2" t="s">
        <v>229</v>
      </c>
      <c r="P2" t="s">
        <v>230</v>
      </c>
      <c r="Q2" t="s">
        <v>153</v>
      </c>
      <c r="W2" s="58" t="s">
        <v>103</v>
      </c>
      <c r="X2" t="s">
        <v>184</v>
      </c>
      <c r="Y2" s="110" t="s">
        <v>258</v>
      </c>
      <c r="Z2" t="s">
        <v>185</v>
      </c>
    </row>
    <row r="3" spans="1:27">
      <c r="A3" s="21" t="s">
        <v>54</v>
      </c>
      <c r="B3" s="21" t="s">
        <v>17</v>
      </c>
      <c r="C3" s="98" t="s">
        <v>96</v>
      </c>
      <c r="D3" t="str">
        <f t="shared" ref="D3:D44" si="0">VLOOKUP($C3,$W$2:$AB$72,2,FALSE)</f>
        <v>RA701</v>
      </c>
      <c r="E3" t="str">
        <f t="shared" ref="E3:E44" si="1">VLOOKUP($C3,$W$2:$AB$72,3,FALSE)</f>
        <v>Bristol Royal Infirmary</v>
      </c>
      <c r="F3" t="str">
        <f>$C3</f>
        <v>C808</v>
      </c>
      <c r="G3" t="str">
        <f t="shared" ref="G3:G44" si="2">VLOOKUP($C3,$W$2:$AB$72,4,FALSE)</f>
        <v>300 - GENERAL MEDICINE</v>
      </c>
      <c r="H3" t="str">
        <f t="shared" ref="H3:H44" si="3">IF(VLOOKUP($C3,$W$2:$AB$72,5,FALSE)=0,"",VLOOKUP($C3,$W$2:$AB$72,5,FALSE))</f>
        <v/>
      </c>
      <c r="I3">
        <f>VLOOKUP($A3,'Unify Report'!$A$1:$V$98,4,FALSE)</f>
        <v>1414.5</v>
      </c>
      <c r="J3">
        <f>VLOOKUP($A3,'Unify Report'!$A$1:$V$98,3,FALSE)</f>
        <v>1397.3333333333333</v>
      </c>
      <c r="K3">
        <f>VLOOKUP($A3,'Unify Report'!$A$1:$V$98,8,FALSE)</f>
        <v>1220.75</v>
      </c>
      <c r="L3">
        <f>VLOOKUP($A3,'Unify Report'!$A$1:$V$98,7,FALSE)</f>
        <v>1911.25</v>
      </c>
      <c r="M3">
        <f>VLOOKUP($A3,'Unify Report'!$A$1:$V$98,12,FALSE)</f>
        <v>1023</v>
      </c>
      <c r="N3">
        <f>VLOOKUP($A3,'Unify Report'!$A$1:$V$98,11,FALSE)</f>
        <v>1034</v>
      </c>
      <c r="O3">
        <f>VLOOKUP($A3,'Unify Report'!$A$1:$V$98,16,FALSE)</f>
        <v>1023</v>
      </c>
      <c r="P3">
        <f>VLOOKUP($A3,'Unify Report'!$A$1:$V$98,15,FALSE)</f>
        <v>1770.75</v>
      </c>
      <c r="Q3" s="97">
        <f>VLOOKUP($C3,CHPPD!$D$6:$Q$70,8,FALSE)</f>
        <v>764</v>
      </c>
      <c r="W3" t="s">
        <v>186</v>
      </c>
      <c r="X3" t="s">
        <v>184</v>
      </c>
      <c r="Y3" s="110" t="s">
        <v>258</v>
      </c>
      <c r="Z3" t="s">
        <v>187</v>
      </c>
    </row>
    <row r="4" spans="1:27">
      <c r="A4" s="21" t="s">
        <v>55</v>
      </c>
      <c r="B4" s="21" t="s">
        <v>20</v>
      </c>
      <c r="C4" s="21" t="s">
        <v>97</v>
      </c>
      <c r="D4" t="str">
        <f t="shared" si="0"/>
        <v>RA701</v>
      </c>
      <c r="E4" t="str">
        <f t="shared" si="1"/>
        <v>Bristol Royal Infirmary</v>
      </c>
      <c r="F4" t="str">
        <f t="shared" ref="F4:F44" si="4">$C4</f>
        <v>A300</v>
      </c>
      <c r="G4" t="str">
        <f t="shared" si="2"/>
        <v>300 - GENERAL MEDICINE</v>
      </c>
      <c r="H4" t="str">
        <f t="shared" si="3"/>
        <v/>
      </c>
      <c r="I4">
        <f>VLOOKUP($A4,'Unify Report'!$A$1:$V$98,4,FALSE)</f>
        <v>2621.1666666666665</v>
      </c>
      <c r="J4">
        <f>VLOOKUP($A4,'Unify Report'!$A$1:$V$98,3,FALSE)</f>
        <v>2431.6666666666665</v>
      </c>
      <c r="K4">
        <f>VLOOKUP($A4,'Unify Report'!$A$1:$V$98,8,FALSE)</f>
        <v>1867</v>
      </c>
      <c r="L4">
        <f>VLOOKUP($A4,'Unify Report'!$A$1:$V$98,7,FALSE)</f>
        <v>1952.9166666666667</v>
      </c>
      <c r="M4">
        <f>VLOOKUP($A4,'Unify Report'!$A$1:$V$98,12,FALSE)</f>
        <v>2386.5</v>
      </c>
      <c r="N4">
        <f>VLOOKUP($A4,'Unify Report'!$A$1:$V$98,11,FALSE)</f>
        <v>2332.5</v>
      </c>
      <c r="O4">
        <f>VLOOKUP($A4,'Unify Report'!$A$1:$V$98,16,FALSE)</f>
        <v>1705</v>
      </c>
      <c r="P4">
        <f>VLOOKUP($A4,'Unify Report'!$A$1:$V$98,15,FALSE)</f>
        <v>1897.5</v>
      </c>
      <c r="Q4" s="97">
        <f>VLOOKUP($C4,CHPPD!$D$6:$Q$70,8,FALSE)</f>
        <v>922</v>
      </c>
      <c r="W4" t="s">
        <v>189</v>
      </c>
      <c r="X4" t="s">
        <v>184</v>
      </c>
      <c r="Y4" s="110" t="s">
        <v>258</v>
      </c>
      <c r="Z4" t="s">
        <v>190</v>
      </c>
    </row>
    <row r="5" spans="1:27">
      <c r="A5" s="21" t="s">
        <v>56</v>
      </c>
      <c r="B5" s="21" t="s">
        <v>19</v>
      </c>
      <c r="C5" s="21" t="s">
        <v>98</v>
      </c>
      <c r="D5" t="str">
        <f t="shared" si="0"/>
        <v>RA701</v>
      </c>
      <c r="E5" t="str">
        <f t="shared" si="1"/>
        <v>Bristol Royal Infirmary</v>
      </c>
      <c r="F5" t="str">
        <f t="shared" si="4"/>
        <v>A400</v>
      </c>
      <c r="G5" t="str">
        <f t="shared" si="2"/>
        <v>430 - GERIATRIC MEDICINE</v>
      </c>
      <c r="H5" t="str">
        <f t="shared" si="3"/>
        <v/>
      </c>
      <c r="I5">
        <f>VLOOKUP($A5,'Unify Report'!$A$1:$V$98,4,FALSE)</f>
        <v>2247.8333333333298</v>
      </c>
      <c r="J5">
        <f>VLOOKUP($A5,'Unify Report'!$A$1:$V$98,3,FALSE)</f>
        <v>1993.3333333333333</v>
      </c>
      <c r="K5">
        <f>VLOOKUP($A5,'Unify Report'!$A$1:$V$98,8,FALSE)</f>
        <v>1850.75</v>
      </c>
      <c r="L5">
        <f>VLOOKUP($A5,'Unify Report'!$A$1:$V$98,7,FALSE)</f>
        <v>2098.75</v>
      </c>
      <c r="M5">
        <f>VLOOKUP($A5,'Unify Report'!$A$1:$V$98,12,FALSE)</f>
        <v>1705</v>
      </c>
      <c r="N5">
        <f>VLOOKUP($A5,'Unify Report'!$A$1:$V$98,11,FALSE)</f>
        <v>1684</v>
      </c>
      <c r="O5">
        <f>VLOOKUP($A5,'Unify Report'!$A$1:$V$98,16,FALSE)</f>
        <v>1364</v>
      </c>
      <c r="P5">
        <f>VLOOKUP($A5,'Unify Report'!$A$1:$V$98,15,FALSE)</f>
        <v>1661.5</v>
      </c>
      <c r="Q5" s="97">
        <f>VLOOKUP($C5,CHPPD!$D$6:$Q$70,8,FALSE)</f>
        <v>910</v>
      </c>
      <c r="W5" t="s">
        <v>191</v>
      </c>
      <c r="X5" t="s">
        <v>184</v>
      </c>
      <c r="Y5" s="110" t="s">
        <v>258</v>
      </c>
      <c r="Z5" t="s">
        <v>185</v>
      </c>
      <c r="AA5" t="s">
        <v>190</v>
      </c>
    </row>
    <row r="6" spans="1:27">
      <c r="A6" s="21" t="s">
        <v>57</v>
      </c>
      <c r="B6" s="21" t="s">
        <v>13</v>
      </c>
      <c r="C6" s="21" t="s">
        <v>99</v>
      </c>
      <c r="D6" t="str">
        <f t="shared" si="0"/>
        <v>RA701</v>
      </c>
      <c r="E6" t="str">
        <f t="shared" si="1"/>
        <v>Bristol Royal Infirmary</v>
      </c>
      <c r="F6" t="str">
        <f t="shared" si="4"/>
        <v>A515</v>
      </c>
      <c r="G6" t="str">
        <f t="shared" si="2"/>
        <v>300 - GENERAL MEDICINE</v>
      </c>
      <c r="H6" t="str">
        <f t="shared" si="3"/>
        <v>430 - GERIATRIC MEDICINE</v>
      </c>
      <c r="I6">
        <f>VLOOKUP($A6,'Unify Report'!$A$1:$V$98,4,FALSE)</f>
        <v>1865.5</v>
      </c>
      <c r="J6">
        <f>VLOOKUP($A6,'Unify Report'!$A$1:$V$98,3,FALSE)</f>
        <v>1688.5</v>
      </c>
      <c r="K6">
        <f>VLOOKUP($A6,'Unify Report'!$A$1:$V$98,8,FALSE)</f>
        <v>1110.75</v>
      </c>
      <c r="L6">
        <f>VLOOKUP($A6,'Unify Report'!$A$1:$V$98,7,FALSE)</f>
        <v>1180.9166666666667</v>
      </c>
      <c r="M6">
        <f>VLOOKUP($A6,'Unify Report'!$A$1:$V$98,12,FALSE)</f>
        <v>1364</v>
      </c>
      <c r="N6">
        <f>VLOOKUP($A6,'Unify Report'!$A$1:$V$98,11,FALSE)</f>
        <v>1452</v>
      </c>
      <c r="O6">
        <f>VLOOKUP($A6,'Unify Report'!$A$1:$V$98,16,FALSE)</f>
        <v>1023</v>
      </c>
      <c r="P6">
        <f>VLOOKUP($A6,'Unify Report'!$A$1:$V$98,15,FALSE)</f>
        <v>1199</v>
      </c>
      <c r="Q6" s="97">
        <f>VLOOKUP($C6,CHPPD!$D$6:$Q$70,8,FALSE)</f>
        <v>722</v>
      </c>
      <c r="W6" t="s">
        <v>105</v>
      </c>
      <c r="X6" t="s">
        <v>184</v>
      </c>
      <c r="Y6" s="110" t="s">
        <v>258</v>
      </c>
      <c r="Z6" t="s">
        <v>185</v>
      </c>
    </row>
    <row r="7" spans="1:27">
      <c r="A7" s="21" t="s">
        <v>58</v>
      </c>
      <c r="B7" s="21" t="s">
        <v>18</v>
      </c>
      <c r="C7" s="21" t="s">
        <v>100</v>
      </c>
      <c r="D7" t="str">
        <f t="shared" si="0"/>
        <v>RA701</v>
      </c>
      <c r="E7" t="str">
        <f t="shared" si="1"/>
        <v>Bristol Royal Infirmary</v>
      </c>
      <c r="F7" t="str">
        <f t="shared" si="4"/>
        <v>A518</v>
      </c>
      <c r="G7" t="str">
        <f t="shared" si="2"/>
        <v>300 - GENERAL MEDICINE</v>
      </c>
      <c r="H7" t="str">
        <f t="shared" si="3"/>
        <v/>
      </c>
      <c r="I7">
        <f>VLOOKUP($A7,'Unify Report'!$A$1:$V$98,4,FALSE)</f>
        <v>1120.25</v>
      </c>
      <c r="J7">
        <f>VLOOKUP($A7,'Unify Report'!$A$1:$V$98,3,FALSE)</f>
        <v>1072.75</v>
      </c>
      <c r="K7">
        <f>VLOOKUP($A7,'Unify Report'!$A$1:$V$98,8,FALSE)</f>
        <v>740.25</v>
      </c>
      <c r="L7">
        <f>VLOOKUP($A7,'Unify Report'!$A$1:$V$98,7,FALSE)</f>
        <v>844.75</v>
      </c>
      <c r="M7">
        <f>VLOOKUP($A7,'Unify Report'!$A$1:$V$98,12,FALSE)</f>
        <v>682</v>
      </c>
      <c r="N7">
        <f>VLOOKUP($A7,'Unify Report'!$A$1:$V$98,11,FALSE)</f>
        <v>682</v>
      </c>
      <c r="O7">
        <f>VLOOKUP($A7,'Unify Report'!$A$1:$V$98,16,FALSE)</f>
        <v>682</v>
      </c>
      <c r="P7">
        <f>VLOOKUP($A7,'Unify Report'!$A$1:$V$98,15,FALSE)</f>
        <v>825</v>
      </c>
      <c r="Q7" s="97">
        <f>VLOOKUP($C7,CHPPD!$D$6:$Q$70,8,FALSE)</f>
        <v>517</v>
      </c>
      <c r="W7" t="s">
        <v>192</v>
      </c>
      <c r="X7" t="s">
        <v>184</v>
      </c>
      <c r="Y7" s="110" t="s">
        <v>258</v>
      </c>
      <c r="Z7" t="s">
        <v>190</v>
      </c>
      <c r="AA7" t="s">
        <v>188</v>
      </c>
    </row>
    <row r="8" spans="1:27">
      <c r="A8" s="21" t="s">
        <v>59</v>
      </c>
      <c r="B8" s="21" t="s">
        <v>15</v>
      </c>
      <c r="C8" s="21" t="s">
        <v>101</v>
      </c>
      <c r="D8" t="str">
        <f t="shared" si="0"/>
        <v>RA701</v>
      </c>
      <c r="E8" t="str">
        <f t="shared" si="1"/>
        <v>Bristol Royal Infirmary</v>
      </c>
      <c r="F8" t="str">
        <f t="shared" si="4"/>
        <v>A522</v>
      </c>
      <c r="G8" t="str">
        <f t="shared" si="2"/>
        <v>300 - GENERAL MEDICINE</v>
      </c>
      <c r="H8" t="str">
        <f t="shared" si="3"/>
        <v>430 - GERIATRIC MEDICINE</v>
      </c>
      <c r="I8">
        <f>VLOOKUP($A8,'Unify Report'!$A$1:$V$98,4,FALSE)</f>
        <v>1631.75</v>
      </c>
      <c r="J8">
        <f>VLOOKUP($A8,'Unify Report'!$A$1:$V$98,3,FALSE)</f>
        <v>1589.75</v>
      </c>
      <c r="K8">
        <f>VLOOKUP($A8,'Unify Report'!$A$1:$V$98,8,FALSE)</f>
        <v>1111.75</v>
      </c>
      <c r="L8">
        <f>VLOOKUP($A8,'Unify Report'!$A$1:$V$98,7,FALSE)</f>
        <v>1582.25</v>
      </c>
      <c r="M8">
        <f>VLOOKUP($A8,'Unify Report'!$A$1:$V$98,12,FALSE)</f>
        <v>1023</v>
      </c>
      <c r="N8">
        <f>VLOOKUP($A8,'Unify Report'!$A$1:$V$98,11,FALSE)</f>
        <v>968</v>
      </c>
      <c r="O8">
        <f>VLOOKUP($A8,'Unify Report'!$A$1:$V$98,16,FALSE)</f>
        <v>1021</v>
      </c>
      <c r="P8">
        <f>VLOOKUP($A8,'Unify Report'!$A$1:$V$98,15,FALSE)</f>
        <v>1493.75</v>
      </c>
      <c r="Q8" s="97">
        <f>VLOOKUP($C8,CHPPD!$D$6:$Q$70,8,FALSE)</f>
        <v>759</v>
      </c>
      <c r="W8" t="s">
        <v>119</v>
      </c>
      <c r="X8" t="s">
        <v>184</v>
      </c>
      <c r="Y8" s="110" t="s">
        <v>258</v>
      </c>
      <c r="Z8" t="s">
        <v>193</v>
      </c>
      <c r="AA8" t="s">
        <v>188</v>
      </c>
    </row>
    <row r="9" spans="1:27">
      <c r="A9" s="21" t="s">
        <v>60</v>
      </c>
      <c r="B9" s="21" t="s">
        <v>22</v>
      </c>
      <c r="C9" s="21" t="s">
        <v>102</v>
      </c>
      <c r="D9" t="str">
        <f t="shared" si="0"/>
        <v>RA701</v>
      </c>
      <c r="E9" t="str">
        <f t="shared" si="1"/>
        <v>Bristol Royal Infirmary</v>
      </c>
      <c r="F9" t="str">
        <f t="shared" si="4"/>
        <v>A524</v>
      </c>
      <c r="G9" t="str">
        <f t="shared" si="2"/>
        <v>300 - GENERAL MEDICINE</v>
      </c>
      <c r="H9" t="str">
        <f t="shared" si="3"/>
        <v/>
      </c>
      <c r="I9">
        <f>VLOOKUP($A9,'Unify Report'!$A$1:$V$98,4,FALSE)</f>
        <v>1115.75</v>
      </c>
      <c r="J9">
        <f>VLOOKUP($A9,'Unify Report'!$A$1:$V$98,3,FALSE)</f>
        <v>1127.75</v>
      </c>
      <c r="K9">
        <f>VLOOKUP($A9,'Unify Report'!$A$1:$V$98,8,FALSE)</f>
        <v>929</v>
      </c>
      <c r="L9">
        <f>VLOOKUP($A9,'Unify Report'!$A$1:$V$98,7,FALSE)</f>
        <v>986.25</v>
      </c>
      <c r="M9">
        <f>VLOOKUP($A9,'Unify Report'!$A$1:$V$98,12,FALSE)</f>
        <v>1023</v>
      </c>
      <c r="N9">
        <f>VLOOKUP($A9,'Unify Report'!$A$1:$V$98,11,FALSE)</f>
        <v>1023</v>
      </c>
      <c r="O9">
        <f>VLOOKUP($A9,'Unify Report'!$A$1:$V$98,16,FALSE)</f>
        <v>341</v>
      </c>
      <c r="P9">
        <f>VLOOKUP($A9,'Unify Report'!$A$1:$V$98,15,FALSE)</f>
        <v>539</v>
      </c>
      <c r="Q9" s="97">
        <f>VLOOKUP($C9,CHPPD!$D$6:$Q$70,8,FALSE)</f>
        <v>617</v>
      </c>
      <c r="W9" t="s">
        <v>194</v>
      </c>
      <c r="X9" t="s">
        <v>184</v>
      </c>
      <c r="Y9" s="110" t="s">
        <v>258</v>
      </c>
      <c r="Z9" t="s">
        <v>190</v>
      </c>
      <c r="AA9" t="s">
        <v>185</v>
      </c>
    </row>
    <row r="10" spans="1:27">
      <c r="A10" s="21" t="s">
        <v>61</v>
      </c>
      <c r="B10" s="21" t="s">
        <v>23</v>
      </c>
      <c r="C10" s="21" t="s">
        <v>103</v>
      </c>
      <c r="D10" t="str">
        <f t="shared" si="0"/>
        <v>RA701</v>
      </c>
      <c r="E10" t="str">
        <f t="shared" si="1"/>
        <v>Bristol Royal Infirmary</v>
      </c>
      <c r="F10" t="str">
        <f t="shared" si="4"/>
        <v>A525</v>
      </c>
      <c r="G10" t="str">
        <f t="shared" si="2"/>
        <v>300 - GENERAL MEDICINE</v>
      </c>
      <c r="H10" t="str">
        <f t="shared" si="3"/>
        <v/>
      </c>
      <c r="I10">
        <f>VLOOKUP($A10,'Unify Report'!$A$1:$V$98,4,FALSE)</f>
        <v>1483</v>
      </c>
      <c r="J10">
        <f>VLOOKUP($A10,'Unify Report'!$A$1:$V$98,3,FALSE)</f>
        <v>1583.25</v>
      </c>
      <c r="K10">
        <f>VLOOKUP($A10,'Unify Report'!$A$1:$V$98,8,FALSE)</f>
        <v>743.5</v>
      </c>
      <c r="L10">
        <f>VLOOKUP($A10,'Unify Report'!$A$1:$V$98,7,FALSE)</f>
        <v>741.25</v>
      </c>
      <c r="M10">
        <f>VLOOKUP($A10,'Unify Report'!$A$1:$V$98,12,FALSE)</f>
        <v>1364</v>
      </c>
      <c r="N10">
        <f>VLOOKUP($A10,'Unify Report'!$A$1:$V$98,11,FALSE)</f>
        <v>1515.5</v>
      </c>
      <c r="O10">
        <f>VLOOKUP($A10,'Unify Report'!$A$1:$V$98,16,FALSE)</f>
        <v>682</v>
      </c>
      <c r="P10">
        <f>VLOOKUP($A10,'Unify Report'!$A$1:$V$98,15,FALSE)</f>
        <v>675.75</v>
      </c>
      <c r="Q10" s="97">
        <f>VLOOKUP($C10,CHPPD!$D$6:$Q$70,8,FALSE)</f>
        <v>404</v>
      </c>
      <c r="W10" t="s">
        <v>111</v>
      </c>
      <c r="X10" t="s">
        <v>184</v>
      </c>
      <c r="Y10" s="110" t="s">
        <v>258</v>
      </c>
      <c r="Z10" t="s">
        <v>195</v>
      </c>
      <c r="AA10" t="s">
        <v>187</v>
      </c>
    </row>
    <row r="11" spans="1:27">
      <c r="A11" s="21" t="s">
        <v>62</v>
      </c>
      <c r="B11" s="21" t="s">
        <v>16</v>
      </c>
      <c r="C11" s="21" t="s">
        <v>104</v>
      </c>
      <c r="D11" t="str">
        <f t="shared" si="0"/>
        <v>RA701</v>
      </c>
      <c r="E11" t="str">
        <f t="shared" si="1"/>
        <v>Bristol Royal Infirmary</v>
      </c>
      <c r="F11" t="str">
        <f t="shared" si="4"/>
        <v>A528</v>
      </c>
      <c r="G11" t="str">
        <f t="shared" si="2"/>
        <v>430 - GERIATRIC MEDICINE</v>
      </c>
      <c r="H11" t="str">
        <f t="shared" si="3"/>
        <v/>
      </c>
      <c r="I11">
        <f>VLOOKUP($A11,'Unify Report'!$A$1:$V$98,4,FALSE)</f>
        <v>1120.25</v>
      </c>
      <c r="J11">
        <f>VLOOKUP($A11,'Unify Report'!$A$1:$V$98,3,FALSE)</f>
        <v>1202.5</v>
      </c>
      <c r="K11">
        <f>VLOOKUP($A11,'Unify Report'!$A$1:$V$98,8,FALSE)</f>
        <v>1095</v>
      </c>
      <c r="L11">
        <f>VLOOKUP($A11,'Unify Report'!$A$1:$V$98,7,FALSE)</f>
        <v>1405.5</v>
      </c>
      <c r="M11">
        <f>VLOOKUP($A11,'Unify Report'!$A$1:$V$98,12,FALSE)</f>
        <v>682</v>
      </c>
      <c r="N11">
        <f>VLOOKUP($A11,'Unify Report'!$A$1:$V$98,11,FALSE)</f>
        <v>682</v>
      </c>
      <c r="O11">
        <f>VLOOKUP($A11,'Unify Report'!$A$1:$V$98,16,FALSE)</f>
        <v>682</v>
      </c>
      <c r="P11">
        <f>VLOOKUP($A11,'Unify Report'!$A$1:$V$98,15,FALSE)</f>
        <v>1436.5</v>
      </c>
      <c r="Q11" s="97">
        <f>VLOOKUP($C11,CHPPD!$D$6:$Q$70,8,FALSE)</f>
        <v>619</v>
      </c>
      <c r="W11" t="s">
        <v>112</v>
      </c>
      <c r="X11" t="s">
        <v>184</v>
      </c>
      <c r="Y11" s="110" t="s">
        <v>258</v>
      </c>
      <c r="Z11" t="s">
        <v>187</v>
      </c>
      <c r="AA11" t="s">
        <v>195</v>
      </c>
    </row>
    <row r="12" spans="1:27">
      <c r="A12" s="21" t="s">
        <v>63</v>
      </c>
      <c r="B12" s="21" t="s">
        <v>14</v>
      </c>
      <c r="C12" s="21" t="s">
        <v>105</v>
      </c>
      <c r="D12" t="str">
        <f t="shared" si="0"/>
        <v>RA701</v>
      </c>
      <c r="E12" t="str">
        <f t="shared" si="1"/>
        <v>Bristol Royal Infirmary</v>
      </c>
      <c r="F12" t="str">
        <f t="shared" si="4"/>
        <v>A605</v>
      </c>
      <c r="G12" t="str">
        <f t="shared" si="2"/>
        <v>300 - GENERAL MEDICINE</v>
      </c>
      <c r="H12" t="str">
        <f t="shared" si="3"/>
        <v/>
      </c>
      <c r="I12">
        <f>VLOOKUP($A12,'Unify Report'!$A$1:$V$98,4,FALSE)</f>
        <v>745.75</v>
      </c>
      <c r="J12">
        <f>VLOOKUP($A12,'Unify Report'!$A$1:$V$98,3,FALSE)</f>
        <v>739.25</v>
      </c>
      <c r="K12">
        <f>VLOOKUP($A12,'Unify Report'!$A$1:$V$98,8,FALSE)</f>
        <v>1488</v>
      </c>
      <c r="L12">
        <f>VLOOKUP($A12,'Unify Report'!$A$1:$V$98,7,FALSE)</f>
        <v>1373.5</v>
      </c>
      <c r="M12">
        <f>VLOOKUP($A12,'Unify Report'!$A$1:$V$98,12,FALSE)</f>
        <v>682</v>
      </c>
      <c r="N12">
        <f>VLOOKUP($A12,'Unify Report'!$A$1:$V$98,11,FALSE)</f>
        <v>681.75</v>
      </c>
      <c r="O12">
        <f>VLOOKUP($A12,'Unify Report'!$A$1:$V$98,16,FALSE)</f>
        <v>682</v>
      </c>
      <c r="P12">
        <f>VLOOKUP($A12,'Unify Report'!$A$1:$V$98,15,FALSE)</f>
        <v>770</v>
      </c>
      <c r="Q12" s="97">
        <f>VLOOKUP($C12,CHPPD!$D$6:$Q$70,8,FALSE)</f>
        <v>559</v>
      </c>
      <c r="W12" t="s">
        <v>113</v>
      </c>
      <c r="X12" t="s">
        <v>184</v>
      </c>
      <c r="Y12" s="110" t="s">
        <v>258</v>
      </c>
      <c r="Z12" t="s">
        <v>195</v>
      </c>
      <c r="AA12" t="s">
        <v>185</v>
      </c>
    </row>
    <row r="13" spans="1:27">
      <c r="A13" s="21" t="s">
        <v>64</v>
      </c>
      <c r="B13" s="21" t="s">
        <v>21</v>
      </c>
      <c r="C13" s="21" t="s">
        <v>106</v>
      </c>
      <c r="D13" t="str">
        <f t="shared" si="0"/>
        <v>RA701</v>
      </c>
      <c r="E13" t="str">
        <f t="shared" si="1"/>
        <v>Bristol Royal Infirmary</v>
      </c>
      <c r="F13" t="str">
        <f t="shared" si="4"/>
        <v>A900</v>
      </c>
      <c r="G13" t="str">
        <f t="shared" si="2"/>
        <v>300 - GENERAL MEDICINE</v>
      </c>
      <c r="H13" t="str">
        <f t="shared" si="3"/>
        <v/>
      </c>
      <c r="I13">
        <f>VLOOKUP($A13,'Unify Report'!$A$1:$V$98,4,FALSE)</f>
        <v>1372.75</v>
      </c>
      <c r="J13">
        <f>VLOOKUP($A13,'Unify Report'!$A$1:$V$98,3,FALSE)</f>
        <v>1305.25</v>
      </c>
      <c r="K13">
        <f>VLOOKUP($A13,'Unify Report'!$A$1:$V$98,8,FALSE)</f>
        <v>1127.25</v>
      </c>
      <c r="L13">
        <f>VLOOKUP($A13,'Unify Report'!$A$1:$V$98,7,FALSE)</f>
        <v>1071</v>
      </c>
      <c r="M13">
        <f>VLOOKUP($A13,'Unify Report'!$A$1:$V$98,12,FALSE)</f>
        <v>1023</v>
      </c>
      <c r="N13">
        <f>VLOOKUP($A13,'Unify Report'!$A$1:$V$98,11,FALSE)</f>
        <v>1023</v>
      </c>
      <c r="O13">
        <f>VLOOKUP($A13,'Unify Report'!$A$1:$V$98,16,FALSE)</f>
        <v>682</v>
      </c>
      <c r="P13">
        <f>VLOOKUP($A13,'Unify Report'!$A$1:$V$98,15,FALSE)</f>
        <v>682</v>
      </c>
      <c r="Q13" s="97">
        <f>VLOOKUP($C13,CHPPD!$D$6:$Q$70,8,FALSE)</f>
        <v>737</v>
      </c>
      <c r="W13" s="110" t="s">
        <v>252</v>
      </c>
      <c r="X13" t="s">
        <v>196</v>
      </c>
      <c r="Y13" s="110" t="s">
        <v>259</v>
      </c>
      <c r="Z13" t="s">
        <v>197</v>
      </c>
      <c r="AA13" t="s">
        <v>188</v>
      </c>
    </row>
    <row r="14" spans="1:27">
      <c r="A14" s="21" t="s">
        <v>65</v>
      </c>
      <c r="B14" s="21" t="s">
        <v>24</v>
      </c>
      <c r="C14" s="22" t="s">
        <v>107</v>
      </c>
      <c r="D14" t="str">
        <f t="shared" si="0"/>
        <v>RA773</v>
      </c>
      <c r="E14" t="str">
        <f t="shared" si="1"/>
        <v>Bristol Royal Hospital For Children</v>
      </c>
      <c r="F14" t="str">
        <f t="shared" si="4"/>
        <v>100</v>
      </c>
      <c r="G14" t="str">
        <f t="shared" si="2"/>
        <v>314 - REHABILITATION</v>
      </c>
      <c r="H14" t="str">
        <f t="shared" si="3"/>
        <v>300 - GENERAL MEDICINE</v>
      </c>
      <c r="I14">
        <f>VLOOKUP($A14,'Unify Report'!$A$1:$V$98,4,FALSE)</f>
        <v>1504.5</v>
      </c>
      <c r="J14">
        <f>VLOOKUP($A14,'Unify Report'!$A$1:$V$98,3,FALSE)</f>
        <v>1604.25</v>
      </c>
      <c r="K14">
        <f>VLOOKUP($A14,'Unify Report'!$A$1:$V$98,8,FALSE)</f>
        <v>1885.5</v>
      </c>
      <c r="L14">
        <f>VLOOKUP($A14,'Unify Report'!$A$1:$V$98,7,FALSE)</f>
        <v>1758.25</v>
      </c>
      <c r="M14">
        <f>VLOOKUP($A14,'Unify Report'!$A$1:$V$98,12,FALSE)</f>
        <v>682</v>
      </c>
      <c r="N14">
        <f>VLOOKUP($A14,'Unify Report'!$A$1:$V$98,11,FALSE)</f>
        <v>825</v>
      </c>
      <c r="O14">
        <f>VLOOKUP($A14,'Unify Report'!$A$1:$V$98,16,FALSE)</f>
        <v>1023</v>
      </c>
      <c r="P14">
        <f>VLOOKUP($A14,'Unify Report'!$A$1:$V$98,15,FALSE)</f>
        <v>1213.25</v>
      </c>
      <c r="Q14" s="97">
        <f>VLOOKUP($C14,CHPPD!$D$6:$Q$70,8,FALSE)</f>
        <v>915</v>
      </c>
      <c r="W14" s="110" t="s">
        <v>247</v>
      </c>
      <c r="X14" t="s">
        <v>196</v>
      </c>
      <c r="Y14" s="110" t="s">
        <v>259</v>
      </c>
      <c r="Z14" t="s">
        <v>198</v>
      </c>
      <c r="AA14" t="s">
        <v>199</v>
      </c>
    </row>
    <row r="15" spans="1:27">
      <c r="A15" s="21" t="s">
        <v>66</v>
      </c>
      <c r="B15" s="21" t="s">
        <v>25</v>
      </c>
      <c r="C15" s="22" t="s">
        <v>108</v>
      </c>
      <c r="D15" t="str">
        <f t="shared" si="0"/>
        <v>RA773</v>
      </c>
      <c r="E15" t="str">
        <f t="shared" si="1"/>
        <v>Bristol Royal Hospital For Children</v>
      </c>
      <c r="F15" t="str">
        <f t="shared" si="4"/>
        <v>200</v>
      </c>
      <c r="G15" t="str">
        <f t="shared" si="2"/>
        <v>314 - REHABILITATION</v>
      </c>
      <c r="H15" t="str">
        <f t="shared" si="3"/>
        <v>300 - GENERAL MEDICINE</v>
      </c>
      <c r="I15">
        <f>VLOOKUP($A15,'Unify Report'!$A$1:$V$98,4,FALSE)</f>
        <v>1503.5</v>
      </c>
      <c r="J15">
        <f>VLOOKUP($A15,'Unify Report'!$A$1:$V$98,3,FALSE)</f>
        <v>1610.1666666666667</v>
      </c>
      <c r="K15">
        <f>VLOOKUP($A15,'Unify Report'!$A$1:$V$98,8,FALSE)</f>
        <v>1682.75</v>
      </c>
      <c r="L15">
        <f>VLOOKUP($A15,'Unify Report'!$A$1:$V$98,7,FALSE)</f>
        <v>1432.25</v>
      </c>
      <c r="M15">
        <f>VLOOKUP($A15,'Unify Report'!$A$1:$V$98,12,FALSE)</f>
        <v>682</v>
      </c>
      <c r="N15">
        <f>VLOOKUP($A15,'Unify Report'!$A$1:$V$98,11,FALSE)</f>
        <v>879.58333333333337</v>
      </c>
      <c r="O15">
        <f>VLOOKUP($A15,'Unify Report'!$A$1:$V$98,16,FALSE)</f>
        <v>1023</v>
      </c>
      <c r="P15">
        <f>VLOOKUP($A15,'Unify Report'!$A$1:$V$98,15,FALSE)</f>
        <v>1188</v>
      </c>
      <c r="Q15" s="97">
        <f>VLOOKUP($C15,CHPPD!$D$6:$Q$70,8,FALSE)</f>
        <v>921</v>
      </c>
      <c r="W15" s="110" t="s">
        <v>253</v>
      </c>
      <c r="X15" t="s">
        <v>196</v>
      </c>
      <c r="Y15" s="110" t="s">
        <v>259</v>
      </c>
      <c r="Z15" t="s">
        <v>199</v>
      </c>
      <c r="AA15" t="s">
        <v>198</v>
      </c>
    </row>
    <row r="16" spans="1:27">
      <c r="A16" s="21" t="s">
        <v>67</v>
      </c>
      <c r="B16" s="21" t="s">
        <v>27</v>
      </c>
      <c r="C16" s="21" t="s">
        <v>109</v>
      </c>
      <c r="D16" t="str">
        <f t="shared" si="0"/>
        <v>RA701</v>
      </c>
      <c r="E16" t="str">
        <f t="shared" si="1"/>
        <v>Bristol Royal Infirmary</v>
      </c>
      <c r="F16" t="str">
        <f t="shared" si="4"/>
        <v>C603</v>
      </c>
      <c r="G16" t="str">
        <f t="shared" si="2"/>
        <v>320 - CARDIOLOGY</v>
      </c>
      <c r="H16" t="str">
        <f t="shared" si="3"/>
        <v/>
      </c>
      <c r="I16">
        <f>VLOOKUP($A16,'Unify Report'!$A$1:$V$98,4,FALSE)</f>
        <v>1859.75</v>
      </c>
      <c r="J16">
        <f>VLOOKUP($A16,'Unify Report'!$A$1:$V$98,3,FALSE)</f>
        <v>1718.25</v>
      </c>
      <c r="K16">
        <f>VLOOKUP($A16,'Unify Report'!$A$1:$V$98,8,FALSE)</f>
        <v>367</v>
      </c>
      <c r="L16">
        <f>VLOOKUP($A16,'Unify Report'!$A$1:$V$98,7,FALSE)</f>
        <v>367</v>
      </c>
      <c r="M16">
        <f>VLOOKUP($A16,'Unify Report'!$A$1:$V$98,12,FALSE)</f>
        <v>1364</v>
      </c>
      <c r="N16">
        <f>VLOOKUP($A16,'Unify Report'!$A$1:$V$98,11,FALSE)</f>
        <v>1342</v>
      </c>
      <c r="O16">
        <f>VLOOKUP($A16,'Unify Report'!$A$1:$V$98,16,FALSE)</f>
        <v>341</v>
      </c>
      <c r="P16">
        <f>VLOOKUP($A16,'Unify Report'!$A$1:$V$98,15,FALSE)</f>
        <v>374</v>
      </c>
      <c r="Q16" s="97">
        <f>VLOOKUP($C16,CHPPD!$D$6:$Q$70,8,FALSE)</f>
        <v>267</v>
      </c>
      <c r="W16" s="110" t="s">
        <v>244</v>
      </c>
      <c r="X16" t="s">
        <v>196</v>
      </c>
      <c r="Y16" s="110" t="s">
        <v>259</v>
      </c>
      <c r="Z16" t="s">
        <v>199</v>
      </c>
      <c r="AA16" t="s">
        <v>197</v>
      </c>
    </row>
    <row r="17" spans="1:27">
      <c r="A17" s="21" t="s">
        <v>68</v>
      </c>
      <c r="B17" s="21" t="s">
        <v>30</v>
      </c>
      <c r="C17" s="21" t="s">
        <v>110</v>
      </c>
      <c r="D17" t="str">
        <f t="shared" si="0"/>
        <v>RA701</v>
      </c>
      <c r="E17" t="str">
        <f t="shared" si="1"/>
        <v>Bristol Royal Infirmary</v>
      </c>
      <c r="F17" t="str">
        <f t="shared" si="4"/>
        <v>C604</v>
      </c>
      <c r="G17" t="str">
        <f t="shared" si="2"/>
        <v>170 - CARDIOTHORACIC SURGERY</v>
      </c>
      <c r="H17" t="str">
        <f t="shared" si="3"/>
        <v>320 - CARDIOLOGY</v>
      </c>
      <c r="I17">
        <f>VLOOKUP($A17,'Unify Report'!$A$1:$V$98,4,FALSE)</f>
        <v>6404.583333333333</v>
      </c>
      <c r="J17">
        <f>VLOOKUP($A17,'Unify Report'!$A$1:$V$98,3,FALSE)</f>
        <v>6127.333333333333</v>
      </c>
      <c r="K17">
        <f>VLOOKUP($A17,'Unify Report'!$A$1:$V$98,8,FALSE)</f>
        <v>456.75</v>
      </c>
      <c r="L17">
        <f>VLOOKUP($A17,'Unify Report'!$A$1:$V$98,7,FALSE)</f>
        <v>466.75</v>
      </c>
      <c r="M17">
        <f>VLOOKUP($A17,'Unify Report'!$A$1:$V$98,12,FALSE)</f>
        <v>6394</v>
      </c>
      <c r="N17">
        <f>VLOOKUP($A17,'Unify Report'!$A$1:$V$98,11,FALSE)</f>
        <v>5883.25</v>
      </c>
      <c r="O17">
        <f>VLOOKUP($A17,'Unify Report'!$A$1:$V$98,16,FALSE)</f>
        <v>356.5</v>
      </c>
      <c r="P17">
        <f>VLOOKUP($A17,'Unify Report'!$A$1:$V$98,15,FALSE)</f>
        <v>494.5</v>
      </c>
      <c r="Q17" s="97">
        <f>VLOOKUP($C17,CHPPD!$D$6:$Q$70,8,FALSE)</f>
        <v>698</v>
      </c>
      <c r="W17" t="s">
        <v>118</v>
      </c>
      <c r="X17" t="s">
        <v>184</v>
      </c>
      <c r="Y17" s="110" t="s">
        <v>258</v>
      </c>
      <c r="Z17" t="s">
        <v>193</v>
      </c>
      <c r="AA17" t="s">
        <v>190</v>
      </c>
    </row>
    <row r="18" spans="1:27">
      <c r="A18" s="21" t="s">
        <v>69</v>
      </c>
      <c r="B18" s="21" t="s">
        <v>29</v>
      </c>
      <c r="C18" s="21" t="s">
        <v>111</v>
      </c>
      <c r="D18" t="str">
        <f t="shared" si="0"/>
        <v>RA701</v>
      </c>
      <c r="E18" t="str">
        <f t="shared" si="1"/>
        <v>Bristol Royal Infirmary</v>
      </c>
      <c r="F18" t="str">
        <f t="shared" si="4"/>
        <v>C705</v>
      </c>
      <c r="G18" t="str">
        <f t="shared" si="2"/>
        <v>320 - CARDIOLOGY</v>
      </c>
      <c r="H18" t="str">
        <f t="shared" si="3"/>
        <v>170 - CARDIOTHORACIC SURGERY</v>
      </c>
      <c r="I18">
        <f>VLOOKUP($A18,'Unify Report'!$A$1:$V$98,4,FALSE)</f>
        <v>1438.5</v>
      </c>
      <c r="J18">
        <f>VLOOKUP($A18,'Unify Report'!$A$1:$V$98,3,FALSE)</f>
        <v>1392</v>
      </c>
      <c r="K18">
        <f>VLOOKUP($A18,'Unify Report'!$A$1:$V$98,8,FALSE)</f>
        <v>1108.25</v>
      </c>
      <c r="L18">
        <f>VLOOKUP($A18,'Unify Report'!$A$1:$V$98,7,FALSE)</f>
        <v>1282</v>
      </c>
      <c r="M18">
        <f>VLOOKUP($A18,'Unify Report'!$A$1:$V$98,12,FALSE)</f>
        <v>1023</v>
      </c>
      <c r="N18">
        <f>VLOOKUP($A18,'Unify Report'!$A$1:$V$98,11,FALSE)</f>
        <v>1024.75</v>
      </c>
      <c r="O18">
        <f>VLOOKUP($A18,'Unify Report'!$A$1:$V$98,16,FALSE)</f>
        <v>341</v>
      </c>
      <c r="P18">
        <f>VLOOKUP($A18,'Unify Report'!$A$1:$V$98,15,FALSE)</f>
        <v>616</v>
      </c>
      <c r="Q18" s="97">
        <f>VLOOKUP($C18,CHPPD!$D$6:$Q$70,8,FALSE)</f>
        <v>722</v>
      </c>
      <c r="W18" s="58" t="s">
        <v>200</v>
      </c>
      <c r="X18" t="s">
        <v>201</v>
      </c>
      <c r="Y18" s="110" t="s">
        <v>260</v>
      </c>
      <c r="Z18" t="s">
        <v>202</v>
      </c>
      <c r="AA18" t="s">
        <v>188</v>
      </c>
    </row>
    <row r="19" spans="1:27">
      <c r="A19" s="21" t="s">
        <v>70</v>
      </c>
      <c r="B19" s="21" t="s">
        <v>28</v>
      </c>
      <c r="C19" s="21" t="s">
        <v>112</v>
      </c>
      <c r="D19" t="str">
        <f t="shared" si="0"/>
        <v>RA701</v>
      </c>
      <c r="E19" t="str">
        <f t="shared" si="1"/>
        <v>Bristol Royal Infirmary</v>
      </c>
      <c r="F19" t="str">
        <f t="shared" si="4"/>
        <v>C708</v>
      </c>
      <c r="G19" t="str">
        <f t="shared" si="2"/>
        <v>170 - CARDIOTHORACIC SURGERY</v>
      </c>
      <c r="H19" t="str">
        <f t="shared" si="3"/>
        <v>320 - CARDIOLOGY</v>
      </c>
      <c r="I19">
        <f>VLOOKUP($A19,'Unify Report'!$A$1:$V$98,4,FALSE)</f>
        <v>1414.75</v>
      </c>
      <c r="J19">
        <f>VLOOKUP($A19,'Unify Report'!$A$1:$V$98,3,FALSE)</f>
        <v>1297.75</v>
      </c>
      <c r="K19">
        <f>VLOOKUP($A19,'Unify Report'!$A$1:$V$98,8,FALSE)</f>
        <v>1269.5</v>
      </c>
      <c r="L19">
        <f>VLOOKUP($A19,'Unify Report'!$A$1:$V$98,7,FALSE)</f>
        <v>1300</v>
      </c>
      <c r="M19">
        <f>VLOOKUP($A19,'Unify Report'!$A$1:$V$98,12,FALSE)</f>
        <v>1023</v>
      </c>
      <c r="N19">
        <f>VLOOKUP($A19,'Unify Report'!$A$1:$V$98,11,FALSE)</f>
        <v>1024</v>
      </c>
      <c r="O19">
        <f>VLOOKUP($A19,'Unify Report'!$A$1:$V$98,16,FALSE)</f>
        <v>341</v>
      </c>
      <c r="P19">
        <f>VLOOKUP($A19,'Unify Report'!$A$1:$V$98,15,FALSE)</f>
        <v>418.25</v>
      </c>
      <c r="Q19" s="97">
        <f>VLOOKUP($C19,CHPPD!$D$6:$Q$70,8,FALSE)</f>
        <v>702</v>
      </c>
      <c r="W19" t="s">
        <v>127</v>
      </c>
      <c r="X19" t="s">
        <v>201</v>
      </c>
      <c r="Y19" s="110" t="s">
        <v>260</v>
      </c>
      <c r="Z19" t="s">
        <v>202</v>
      </c>
      <c r="AA19" t="s">
        <v>188</v>
      </c>
    </row>
    <row r="20" spans="1:27">
      <c r="A20" s="21" t="s">
        <v>71</v>
      </c>
      <c r="B20" s="21" t="s">
        <v>26</v>
      </c>
      <c r="C20" s="21" t="s">
        <v>113</v>
      </c>
      <c r="D20" t="str">
        <f t="shared" si="0"/>
        <v>RA701</v>
      </c>
      <c r="E20" t="str">
        <f t="shared" si="1"/>
        <v>Bristol Royal Infirmary</v>
      </c>
      <c r="F20" t="str">
        <f t="shared" si="4"/>
        <v>C805</v>
      </c>
      <c r="G20" t="str">
        <f t="shared" si="2"/>
        <v>320 - CARDIOLOGY</v>
      </c>
      <c r="H20" t="str">
        <f t="shared" si="3"/>
        <v>300 - GENERAL MEDICINE</v>
      </c>
      <c r="I20">
        <f>VLOOKUP($A20,'Unify Report'!$A$1:$V$98,4,FALSE)</f>
        <v>1400.5</v>
      </c>
      <c r="J20">
        <f>VLOOKUP($A20,'Unify Report'!$A$1:$V$98,3,FALSE)</f>
        <v>1363</v>
      </c>
      <c r="K20">
        <f>VLOOKUP($A20,'Unify Report'!$A$1:$V$98,8,FALSE)</f>
        <v>1127</v>
      </c>
      <c r="L20">
        <f>VLOOKUP($A20,'Unify Report'!$A$1:$V$98,7,FALSE)</f>
        <v>1114.25</v>
      </c>
      <c r="M20">
        <f>VLOOKUP($A20,'Unify Report'!$A$1:$V$98,12,FALSE)</f>
        <v>1023</v>
      </c>
      <c r="N20">
        <f>VLOOKUP($A20,'Unify Report'!$A$1:$V$98,11,FALSE)</f>
        <v>1018.25</v>
      </c>
      <c r="O20">
        <f>VLOOKUP($A20,'Unify Report'!$A$1:$V$98,16,FALSE)</f>
        <v>341</v>
      </c>
      <c r="P20">
        <f>VLOOKUP($A20,'Unify Report'!$A$1:$V$98,15,FALSE)</f>
        <v>558.5</v>
      </c>
      <c r="Q20" s="97">
        <f>VLOOKUP($C20,CHPPD!$D$6:$Q$70,8,FALSE)</f>
        <v>726</v>
      </c>
      <c r="W20" t="s">
        <v>126</v>
      </c>
      <c r="X20" t="s">
        <v>201</v>
      </c>
      <c r="Y20" s="110" t="s">
        <v>260</v>
      </c>
      <c r="Z20" t="s">
        <v>198</v>
      </c>
      <c r="AA20" t="s">
        <v>188</v>
      </c>
    </row>
    <row r="21" spans="1:27">
      <c r="A21" s="21" t="s">
        <v>72</v>
      </c>
      <c r="B21" s="21" t="s">
        <v>31</v>
      </c>
      <c r="C21" s="21" t="s">
        <v>114</v>
      </c>
      <c r="D21" t="str">
        <f t="shared" si="0"/>
        <v>RA710</v>
      </c>
      <c r="E21" t="str">
        <f t="shared" si="1"/>
        <v>Bristol Haematology and Oncology Centre</v>
      </c>
      <c r="F21" t="str">
        <f t="shared" si="4"/>
        <v>D603</v>
      </c>
      <c r="G21" t="str">
        <f t="shared" si="2"/>
        <v>800 - CLINICAL ONCOLOGY</v>
      </c>
      <c r="H21" t="str">
        <f t="shared" si="3"/>
        <v/>
      </c>
      <c r="I21">
        <f>VLOOKUP($A21,'Unify Report'!$A$1:$V$98,4,FALSE)</f>
        <v>2626.8333333333235</v>
      </c>
      <c r="J21">
        <f>VLOOKUP($A21,'Unify Report'!$A$1:$V$98,3,FALSE)</f>
        <v>2717.4166666666665</v>
      </c>
      <c r="K21">
        <f>VLOOKUP($A21,'Unify Report'!$A$1:$V$98,8,FALSE)</f>
        <v>1112.3333333333333</v>
      </c>
      <c r="L21">
        <f>VLOOKUP($A21,'Unify Report'!$A$1:$V$98,7,FALSE)</f>
        <v>1365.5</v>
      </c>
      <c r="M21">
        <f>VLOOKUP($A21,'Unify Report'!$A$1:$V$98,12,FALSE)</f>
        <v>2046</v>
      </c>
      <c r="N21">
        <f>VLOOKUP($A21,'Unify Report'!$A$1:$V$98,11,FALSE)</f>
        <v>1947</v>
      </c>
      <c r="O21">
        <f>VLOOKUP($A21,'Unify Report'!$A$1:$V$98,16,FALSE)</f>
        <v>682</v>
      </c>
      <c r="P21">
        <f>VLOOKUP($A21,'Unify Report'!$A$1:$V$98,15,FALSE)</f>
        <v>1045.5</v>
      </c>
      <c r="Q21" s="97">
        <f>VLOOKUP($C21,CHPPD!$D$6:$Q$70,8,FALSE)</f>
        <v>868</v>
      </c>
      <c r="W21" t="s">
        <v>129</v>
      </c>
      <c r="X21" t="s">
        <v>201</v>
      </c>
      <c r="Y21" s="110" t="s">
        <v>260</v>
      </c>
      <c r="Z21" t="s">
        <v>203</v>
      </c>
      <c r="AA21" t="s">
        <v>188</v>
      </c>
    </row>
    <row r="22" spans="1:27">
      <c r="A22" s="21" t="s">
        <v>73</v>
      </c>
      <c r="B22" s="21" t="s">
        <v>32</v>
      </c>
      <c r="C22" s="21" t="s">
        <v>115</v>
      </c>
      <c r="D22" t="str">
        <f t="shared" si="0"/>
        <v>RA710</v>
      </c>
      <c r="E22" t="str">
        <f t="shared" si="1"/>
        <v>Bristol Haematology and Oncology Centre</v>
      </c>
      <c r="F22" t="str">
        <f t="shared" si="4"/>
        <v>D703</v>
      </c>
      <c r="G22" t="str">
        <f t="shared" si="2"/>
        <v>303 - CLINICAL HAEMATOLOGY</v>
      </c>
      <c r="H22" t="str">
        <f t="shared" si="3"/>
        <v/>
      </c>
      <c r="I22">
        <f>VLOOKUP($A22,'Unify Report'!$A$1:$V$98,4,FALSE)</f>
        <v>2604.5</v>
      </c>
      <c r="J22">
        <f>VLOOKUP($A22,'Unify Report'!$A$1:$V$98,3,FALSE)</f>
        <v>2502.4166666666665</v>
      </c>
      <c r="K22">
        <f>VLOOKUP($A22,'Unify Report'!$A$1:$V$98,8,FALSE)</f>
        <v>747.5</v>
      </c>
      <c r="L22">
        <f>VLOOKUP($A22,'Unify Report'!$A$1:$V$98,7,FALSE)</f>
        <v>715.75</v>
      </c>
      <c r="M22">
        <f>VLOOKUP($A22,'Unify Report'!$A$1:$V$98,12,FALSE)</f>
        <v>1705</v>
      </c>
      <c r="N22">
        <f>VLOOKUP($A22,'Unify Report'!$A$1:$V$98,11,FALSE)</f>
        <v>1650</v>
      </c>
      <c r="O22">
        <f>VLOOKUP($A22,'Unify Report'!$A$1:$V$98,16,FALSE)</f>
        <v>682</v>
      </c>
      <c r="P22">
        <f>VLOOKUP($A22,'Unify Report'!$A$1:$V$98,15,FALSE)</f>
        <v>660</v>
      </c>
      <c r="Q22" s="97">
        <f>VLOOKUP($C22,CHPPD!$D$6:$Q$70,8,FALSE)</f>
        <v>721</v>
      </c>
      <c r="W22" s="110" t="s">
        <v>255</v>
      </c>
      <c r="X22" t="s">
        <v>196</v>
      </c>
      <c r="Y22" s="110" t="s">
        <v>259</v>
      </c>
      <c r="Z22" t="s">
        <v>204</v>
      </c>
      <c r="AA22" t="s">
        <v>198</v>
      </c>
    </row>
    <row r="23" spans="1:27">
      <c r="A23" s="21" t="s">
        <v>74</v>
      </c>
      <c r="B23" s="21" t="s">
        <v>232</v>
      </c>
      <c r="C23" s="22" t="s">
        <v>116</v>
      </c>
      <c r="D23" t="str">
        <f t="shared" si="0"/>
        <v>RA708</v>
      </c>
      <c r="E23" t="str">
        <f t="shared" si="1"/>
        <v>Bristol Eye Hospital</v>
      </c>
      <c r="F23" t="str">
        <f t="shared" si="4"/>
        <v>H304A</v>
      </c>
      <c r="G23" t="str">
        <f t="shared" si="2"/>
        <v>130 - OPHTHALMOLOGY</v>
      </c>
      <c r="H23" t="str">
        <f t="shared" si="3"/>
        <v/>
      </c>
      <c r="I23">
        <f>VLOOKUP($A23,'Unify Report'!$A$1:$V$98,4,FALSE)</f>
        <v>1665.75</v>
      </c>
      <c r="J23">
        <f>VLOOKUP($A23,'Unify Report'!$A$1:$V$98,3,FALSE)</f>
        <v>1463.25</v>
      </c>
      <c r="K23">
        <f>VLOOKUP($A23,'Unify Report'!$A$1:$V$98,8,FALSE)</f>
        <v>1173</v>
      </c>
      <c r="L23">
        <f>VLOOKUP($A23,'Unify Report'!$A$1:$V$98,7,FALSE)</f>
        <v>1068</v>
      </c>
      <c r="M23">
        <f>VLOOKUP($A23,'Unify Report'!$A$1:$V$98,12,FALSE)</f>
        <v>682</v>
      </c>
      <c r="N23">
        <f>VLOOKUP($A23,'Unify Report'!$A$1:$V$98,11,FALSE)</f>
        <v>682</v>
      </c>
      <c r="O23">
        <f>VLOOKUP($A23,'Unify Report'!$A$1:$V$98,16,FALSE)</f>
        <v>0</v>
      </c>
      <c r="P23">
        <f>VLOOKUP($A23,'Unify Report'!$A$1:$V$98,15,FALSE)</f>
        <v>0</v>
      </c>
      <c r="Q23" s="97">
        <f>VLOOKUP($C23,CHPPD!$D$6:$Q$70,8,FALSE)</f>
        <v>276</v>
      </c>
      <c r="W23" s="110" t="s">
        <v>246</v>
      </c>
      <c r="X23" t="s">
        <v>196</v>
      </c>
      <c r="Y23" s="110" t="s">
        <v>259</v>
      </c>
      <c r="Z23" t="s">
        <v>198</v>
      </c>
      <c r="AA23" t="s">
        <v>205</v>
      </c>
    </row>
    <row r="24" spans="1:27">
      <c r="A24" s="21" t="s">
        <v>75</v>
      </c>
      <c r="B24" s="21" t="s">
        <v>40</v>
      </c>
      <c r="C24" s="21" t="s">
        <v>117</v>
      </c>
      <c r="D24" t="str">
        <f t="shared" si="0"/>
        <v>RA701</v>
      </c>
      <c r="E24" t="str">
        <f t="shared" si="1"/>
        <v>Bristol Royal Infirmary</v>
      </c>
      <c r="F24" t="str">
        <f t="shared" si="4"/>
        <v>A600</v>
      </c>
      <c r="G24" t="str">
        <f t="shared" si="2"/>
        <v>300 - GENERAL MEDICINE</v>
      </c>
      <c r="H24" t="str">
        <f t="shared" si="3"/>
        <v>100 - GENERAL SURGERY</v>
      </c>
      <c r="I24">
        <f>VLOOKUP($A24,'Unify Report'!$A$1:$V$98,4,FALSE)</f>
        <v>6785.333333333333</v>
      </c>
      <c r="J24">
        <f>VLOOKUP($A24,'Unify Report'!$A$1:$V$98,3,FALSE)</f>
        <v>6820</v>
      </c>
      <c r="K24">
        <f>VLOOKUP($A24,'Unify Report'!$A$1:$V$98,8,FALSE)</f>
        <v>717.5</v>
      </c>
      <c r="L24">
        <f>VLOOKUP($A24,'Unify Report'!$A$1:$V$98,7,FALSE)</f>
        <v>783.63333333333333</v>
      </c>
      <c r="M24">
        <f>VLOOKUP($A24,'Unify Report'!$A$1:$V$98,12,FALSE)</f>
        <v>6773.5</v>
      </c>
      <c r="N24">
        <f>VLOOKUP($A24,'Unify Report'!$A$1:$V$98,11,FALSE)</f>
        <v>6869.5</v>
      </c>
      <c r="O24">
        <f>VLOOKUP($A24,'Unify Report'!$A$1:$V$98,16,FALSE)</f>
        <v>713</v>
      </c>
      <c r="P24">
        <f>VLOOKUP($A24,'Unify Report'!$A$1:$V$98,15,FALSE)</f>
        <v>793.5</v>
      </c>
      <c r="Q24" s="97">
        <f>VLOOKUP($C24,CHPPD!$D$6:$Q$70,8,FALSE)</f>
        <v>564</v>
      </c>
      <c r="W24" s="110" t="s">
        <v>254</v>
      </c>
      <c r="X24" t="s">
        <v>196</v>
      </c>
      <c r="Y24" s="110" t="s">
        <v>259</v>
      </c>
      <c r="Z24" t="s">
        <v>206</v>
      </c>
      <c r="AA24" t="s">
        <v>207</v>
      </c>
    </row>
    <row r="25" spans="1:27">
      <c r="A25" s="21" t="s">
        <v>76</v>
      </c>
      <c r="B25" s="21" t="s">
        <v>44</v>
      </c>
      <c r="C25" s="21" t="s">
        <v>118</v>
      </c>
      <c r="D25" t="str">
        <f t="shared" si="0"/>
        <v>RA701</v>
      </c>
      <c r="E25" t="str">
        <f t="shared" si="1"/>
        <v>Bristol Royal Infirmary</v>
      </c>
      <c r="F25" t="str">
        <f t="shared" si="4"/>
        <v>A602</v>
      </c>
      <c r="G25" t="str">
        <f t="shared" si="2"/>
        <v>110 - TRAUMA &amp; ORTHOPAEDICS</v>
      </c>
      <c r="H25" t="str">
        <f t="shared" si="3"/>
        <v>100 - GENERAL SURGERY</v>
      </c>
      <c r="I25">
        <f>VLOOKUP($A25,'Unify Report'!$A$1:$V$98,4,FALSE)</f>
        <v>1064.5</v>
      </c>
      <c r="J25">
        <f>VLOOKUP($A25,'Unify Report'!$A$1:$V$98,3,FALSE)</f>
        <v>1068</v>
      </c>
      <c r="K25">
        <f>VLOOKUP($A25,'Unify Report'!$A$1:$V$98,8,FALSE)</f>
        <v>1212.5</v>
      </c>
      <c r="L25">
        <f>VLOOKUP($A25,'Unify Report'!$A$1:$V$98,7,FALSE)</f>
        <v>1119.5</v>
      </c>
      <c r="M25">
        <f>VLOOKUP($A25,'Unify Report'!$A$1:$V$98,12,FALSE)</f>
        <v>713</v>
      </c>
      <c r="N25">
        <f>VLOOKUP($A25,'Unify Report'!$A$1:$V$98,11,FALSE)</f>
        <v>724.5</v>
      </c>
      <c r="O25">
        <f>VLOOKUP($A25,'Unify Report'!$A$1:$V$98,16,FALSE)</f>
        <v>1068.75</v>
      </c>
      <c r="P25">
        <f>VLOOKUP($A25,'Unify Report'!$A$1:$V$98,15,FALSE)</f>
        <v>1102.25</v>
      </c>
      <c r="Q25" s="97">
        <f>VLOOKUP($C25,CHPPD!$D$6:$Q$70,8,FALSE)</f>
        <v>499</v>
      </c>
      <c r="W25" s="110" t="s">
        <v>249</v>
      </c>
      <c r="X25" t="s">
        <v>196</v>
      </c>
      <c r="Y25" s="110" t="s">
        <v>259</v>
      </c>
      <c r="Z25" t="s">
        <v>198</v>
      </c>
      <c r="AA25" t="s">
        <v>205</v>
      </c>
    </row>
    <row r="26" spans="1:27">
      <c r="A26" s="21" t="s">
        <v>77</v>
      </c>
      <c r="B26" s="21" t="s">
        <v>42</v>
      </c>
      <c r="C26" s="21" t="s">
        <v>119</v>
      </c>
      <c r="D26" t="str">
        <f t="shared" si="0"/>
        <v>RA701</v>
      </c>
      <c r="E26" t="str">
        <f t="shared" si="1"/>
        <v>Bristol Royal Infirmary</v>
      </c>
      <c r="F26" t="str">
        <f t="shared" si="4"/>
        <v>A604</v>
      </c>
      <c r="G26" t="str">
        <f t="shared" si="2"/>
        <v>110 - TRAUMA &amp; ORTHOPAEDICS</v>
      </c>
      <c r="H26" t="str">
        <f t="shared" si="3"/>
        <v/>
      </c>
      <c r="I26">
        <f>VLOOKUP($A26,'Unify Report'!$A$1:$V$98,4,FALSE)</f>
        <v>1432.5</v>
      </c>
      <c r="J26">
        <f>VLOOKUP($A26,'Unify Report'!$A$1:$V$98,3,FALSE)</f>
        <v>1429</v>
      </c>
      <c r="K26">
        <f>VLOOKUP($A26,'Unify Report'!$A$1:$V$98,8,FALSE)</f>
        <v>1274.3333333333333</v>
      </c>
      <c r="L26">
        <f>VLOOKUP($A26,'Unify Report'!$A$1:$V$98,7,FALSE)</f>
        <v>1490.5833333333333</v>
      </c>
      <c r="M26">
        <f>VLOOKUP($A26,'Unify Report'!$A$1:$V$98,12,FALSE)</f>
        <v>1069.5</v>
      </c>
      <c r="N26">
        <f>VLOOKUP($A26,'Unify Report'!$A$1:$V$98,11,FALSE)</f>
        <v>1059.1666666666667</v>
      </c>
      <c r="O26">
        <f>VLOOKUP($A26,'Unify Report'!$A$1:$V$98,16,FALSE)</f>
        <v>713</v>
      </c>
      <c r="P26">
        <f>VLOOKUP($A26,'Unify Report'!$A$1:$V$98,15,FALSE)</f>
        <v>1038.5</v>
      </c>
      <c r="Q26" s="97">
        <f>VLOOKUP($C26,CHPPD!$D$6:$Q$70,8,FALSE)</f>
        <v>593</v>
      </c>
      <c r="W26" t="s">
        <v>208</v>
      </c>
      <c r="X26" t="s">
        <v>209</v>
      </c>
      <c r="Y26" s="110" t="s">
        <v>261</v>
      </c>
      <c r="Z26" t="s">
        <v>210</v>
      </c>
      <c r="AA26" t="s">
        <v>188</v>
      </c>
    </row>
    <row r="27" spans="1:27">
      <c r="A27" s="21" t="s">
        <v>78</v>
      </c>
      <c r="B27" s="21" t="s">
        <v>43</v>
      </c>
      <c r="C27" s="21" t="s">
        <v>120</v>
      </c>
      <c r="D27" t="str">
        <f t="shared" si="0"/>
        <v>RA701</v>
      </c>
      <c r="E27" t="str">
        <f t="shared" si="1"/>
        <v>Bristol Royal Infirmary</v>
      </c>
      <c r="F27" t="str">
        <f t="shared" si="4"/>
        <v>A609</v>
      </c>
      <c r="G27" t="str">
        <f t="shared" si="2"/>
        <v>100 - GENERAL SURGERY</v>
      </c>
      <c r="H27" t="str">
        <f t="shared" si="3"/>
        <v/>
      </c>
      <c r="I27">
        <f>VLOOKUP($A27,'Unify Report'!$A$1:$V$98,4,FALSE)</f>
        <v>2045.15</v>
      </c>
      <c r="J27">
        <f>VLOOKUP($A27,'Unify Report'!$A$1:$V$98,3,FALSE)</f>
        <v>1967.65</v>
      </c>
      <c r="K27">
        <f>VLOOKUP($A27,'Unify Report'!$A$1:$V$98,8,FALSE)</f>
        <v>1081.5</v>
      </c>
      <c r="L27">
        <f>VLOOKUP($A27,'Unify Report'!$A$1:$V$98,7,FALSE)</f>
        <v>1031.5833333333333</v>
      </c>
      <c r="M27">
        <f>VLOOKUP($A27,'Unify Report'!$A$1:$V$98,12,FALSE)</f>
        <v>1656</v>
      </c>
      <c r="N27">
        <f>VLOOKUP($A27,'Unify Report'!$A$1:$V$98,11,FALSE)</f>
        <v>1632.5</v>
      </c>
      <c r="O27">
        <f>VLOOKUP($A27,'Unify Report'!$A$1:$V$98,16,FALSE)</f>
        <v>713</v>
      </c>
      <c r="P27">
        <f>VLOOKUP($A27,'Unify Report'!$A$1:$V$98,15,FALSE)</f>
        <v>713</v>
      </c>
      <c r="Q27" s="97">
        <f>VLOOKUP($C27,CHPPD!$D$6:$Q$70,8,FALSE)</f>
        <v>578</v>
      </c>
      <c r="W27" t="s">
        <v>116</v>
      </c>
      <c r="X27" t="s">
        <v>209</v>
      </c>
      <c r="Y27" s="110" t="s">
        <v>261</v>
      </c>
      <c r="Z27" t="s">
        <v>210</v>
      </c>
    </row>
    <row r="28" spans="1:27">
      <c r="A28" s="21" t="s">
        <v>79</v>
      </c>
      <c r="B28" s="21" t="s">
        <v>39</v>
      </c>
      <c r="C28" s="21" t="s">
        <v>121</v>
      </c>
      <c r="D28" t="str">
        <f t="shared" si="0"/>
        <v>RA701</v>
      </c>
      <c r="E28" t="str">
        <f t="shared" si="1"/>
        <v>Bristol Royal Infirmary</v>
      </c>
      <c r="F28" t="str">
        <f t="shared" si="4"/>
        <v>A700</v>
      </c>
      <c r="G28" t="str">
        <f t="shared" si="2"/>
        <v>100 - GENERAL SURGERY</v>
      </c>
      <c r="H28" t="str">
        <f t="shared" si="3"/>
        <v/>
      </c>
      <c r="I28">
        <f>VLOOKUP($A28,'Unify Report'!$A$1:$V$98,4,FALSE)</f>
        <v>2265.5</v>
      </c>
      <c r="J28">
        <f>VLOOKUP($A28,'Unify Report'!$A$1:$V$98,3,FALSE)</f>
        <v>2041.75</v>
      </c>
      <c r="K28">
        <f>VLOOKUP($A28,'Unify Report'!$A$1:$V$98,8,FALSE)</f>
        <v>1269.5</v>
      </c>
      <c r="L28">
        <f>VLOOKUP($A28,'Unify Report'!$A$1:$V$98,7,FALSE)</f>
        <v>1429.1166666666666</v>
      </c>
      <c r="M28">
        <f>VLOOKUP($A28,'Unify Report'!$A$1:$V$98,12,FALSE)</f>
        <v>1782.5</v>
      </c>
      <c r="N28">
        <f>VLOOKUP($A28,'Unify Report'!$A$1:$V$98,11,FALSE)</f>
        <v>1782.5</v>
      </c>
      <c r="O28">
        <f>VLOOKUP($A28,'Unify Report'!$A$1:$V$98,16,FALSE)</f>
        <v>1426</v>
      </c>
      <c r="P28">
        <f>VLOOKUP($A28,'Unify Report'!$A$1:$V$98,15,FALSE)</f>
        <v>1495.5</v>
      </c>
      <c r="Q28" s="97">
        <f>VLOOKUP($C28,CHPPD!$D$6:$Q$70,8,FALSE)</f>
        <v>834</v>
      </c>
      <c r="W28" t="s">
        <v>114</v>
      </c>
      <c r="X28" t="s">
        <v>211</v>
      </c>
      <c r="Y28" s="110" t="s">
        <v>262</v>
      </c>
      <c r="Z28" t="s">
        <v>206</v>
      </c>
      <c r="AA28" t="s">
        <v>188</v>
      </c>
    </row>
    <row r="29" spans="1:27">
      <c r="A29" s="21" t="s">
        <v>80</v>
      </c>
      <c r="B29" s="21" t="s">
        <v>41</v>
      </c>
      <c r="C29" s="21" t="s">
        <v>122</v>
      </c>
      <c r="D29" t="str">
        <f t="shared" si="0"/>
        <v>RA701</v>
      </c>
      <c r="E29" t="str">
        <f t="shared" si="1"/>
        <v>Bristol Royal Infirmary</v>
      </c>
      <c r="F29" t="str">
        <f t="shared" si="4"/>
        <v>A800</v>
      </c>
      <c r="G29" t="str">
        <f t="shared" si="2"/>
        <v>100 - GENERAL SURGERY</v>
      </c>
      <c r="H29" t="str">
        <f t="shared" si="3"/>
        <v/>
      </c>
      <c r="I29">
        <f>VLOOKUP($A29,'Unify Report'!$A$1:$V$98,4,FALSE)</f>
        <v>2141.5</v>
      </c>
      <c r="J29">
        <f>VLOOKUP($A29,'Unify Report'!$A$1:$V$98,3,FALSE)</f>
        <v>2126</v>
      </c>
      <c r="K29">
        <f>VLOOKUP($A29,'Unify Report'!$A$1:$V$98,8,FALSE)</f>
        <v>1427</v>
      </c>
      <c r="L29">
        <f>VLOOKUP($A29,'Unify Report'!$A$1:$V$98,7,FALSE)</f>
        <v>1641.75</v>
      </c>
      <c r="M29">
        <f>VLOOKUP($A29,'Unify Report'!$A$1:$V$98,12,FALSE)</f>
        <v>1782.5</v>
      </c>
      <c r="N29">
        <f>VLOOKUP($A29,'Unify Report'!$A$1:$V$98,11,FALSE)</f>
        <v>1777.0833333333333</v>
      </c>
      <c r="O29">
        <f>VLOOKUP($A29,'Unify Report'!$A$1:$V$98,16,FALSE)</f>
        <v>1426</v>
      </c>
      <c r="P29">
        <f>VLOOKUP($A29,'Unify Report'!$A$1:$V$98,15,FALSE)</f>
        <v>1724.5</v>
      </c>
      <c r="Q29" s="97">
        <f>VLOOKUP($C29,CHPPD!$D$6:$Q$70,8,FALSE)</f>
        <v>965</v>
      </c>
      <c r="W29" t="s">
        <v>115</v>
      </c>
      <c r="X29" t="s">
        <v>211</v>
      </c>
      <c r="Y29" s="110" t="s">
        <v>262</v>
      </c>
      <c r="Z29" t="s">
        <v>212</v>
      </c>
      <c r="AA29" t="s">
        <v>188</v>
      </c>
    </row>
    <row r="30" spans="1:27">
      <c r="A30" s="21" t="s">
        <v>81</v>
      </c>
      <c r="B30" s="21" t="s">
        <v>235</v>
      </c>
      <c r="C30" s="98" t="s">
        <v>244</v>
      </c>
      <c r="D30" t="str">
        <f t="shared" si="0"/>
        <v>RA723</v>
      </c>
      <c r="E30" t="str">
        <f t="shared" si="1"/>
        <v>Bristol Royal Hospital For Children</v>
      </c>
      <c r="F30" t="str">
        <f t="shared" si="4"/>
        <v>E400</v>
      </c>
      <c r="G30" t="str">
        <f t="shared" si="2"/>
        <v>171 - PAEDIATRIC SURGERY</v>
      </c>
      <c r="H30" t="str">
        <f t="shared" si="3"/>
        <v>321 - PAEDIATRIC CARDIOLOGY</v>
      </c>
      <c r="I30">
        <f>VLOOKUP($A30,'Unify Report'!$A$1:$V$98,4,FALSE)</f>
        <v>6098.75</v>
      </c>
      <c r="J30">
        <f>VLOOKUP($A30,'Unify Report'!$A$1:$V$98,3,FALSE)</f>
        <v>5491.75</v>
      </c>
      <c r="K30">
        <f>VLOOKUP($A30,'Unify Report'!$A$1:$V$98,8,FALSE)</f>
        <v>727</v>
      </c>
      <c r="L30">
        <f>VLOOKUP($A30,'Unify Report'!$A$1:$V$98,7,FALSE)</f>
        <v>374</v>
      </c>
      <c r="M30">
        <f>VLOOKUP($A30,'Unify Report'!$A$1:$V$98,12,FALSE)</f>
        <v>6060.5</v>
      </c>
      <c r="N30">
        <f>VLOOKUP($A30,'Unify Report'!$A$1:$V$98,11,FALSE)</f>
        <v>5060.75</v>
      </c>
      <c r="O30">
        <f>VLOOKUP($A30,'Unify Report'!$A$1:$V$98,16,FALSE)</f>
        <v>713</v>
      </c>
      <c r="P30">
        <f>VLOOKUP($A30,'Unify Report'!$A$1:$V$98,15,FALSE)</f>
        <v>241.5</v>
      </c>
      <c r="Q30" s="97">
        <f>VLOOKUP($C30,CHPPD!$D$6:$Q$70,8,FALSE)</f>
        <v>361</v>
      </c>
      <c r="W30" t="s">
        <v>213</v>
      </c>
      <c r="X30" t="s">
        <v>184</v>
      </c>
      <c r="Y30" s="110" t="s">
        <v>258</v>
      </c>
      <c r="Z30" t="s">
        <v>185</v>
      </c>
      <c r="AA30" t="s">
        <v>214</v>
      </c>
    </row>
    <row r="31" spans="1:27">
      <c r="A31" s="21" t="s">
        <v>82</v>
      </c>
      <c r="B31" s="21" t="s">
        <v>236</v>
      </c>
      <c r="C31" s="70" t="s">
        <v>246</v>
      </c>
      <c r="D31" t="str">
        <f t="shared" si="0"/>
        <v>RA723</v>
      </c>
      <c r="E31" t="str">
        <f t="shared" si="1"/>
        <v>Bristol Royal Hospital For Children</v>
      </c>
      <c r="F31" t="str">
        <f t="shared" si="4"/>
        <v>E510</v>
      </c>
      <c r="G31" t="str">
        <f t="shared" si="2"/>
        <v>420 - PAEDIATRICS</v>
      </c>
      <c r="H31" t="str">
        <f t="shared" si="3"/>
        <v>421 - PAEDIATRIC NEUROLOGY</v>
      </c>
      <c r="I31">
        <f>VLOOKUP($A31,'Unify Report'!$A$1:$V$98,4,FALSE)</f>
        <v>3567.3333333333335</v>
      </c>
      <c r="J31">
        <f>VLOOKUP($A31,'Unify Report'!$A$1:$V$98,3,FALSE)</f>
        <v>3539.1666666666665</v>
      </c>
      <c r="K31">
        <f>VLOOKUP($A31,'Unify Report'!$A$1:$V$98,8,FALSE)</f>
        <v>358.5</v>
      </c>
      <c r="L31">
        <f>VLOOKUP($A31,'Unify Report'!$A$1:$V$98,7,FALSE)</f>
        <v>391.5</v>
      </c>
      <c r="M31">
        <f>VLOOKUP($A31,'Unify Report'!$A$1:$V$98,12,FALSE)</f>
        <v>3797.5</v>
      </c>
      <c r="N31">
        <f>VLOOKUP($A31,'Unify Report'!$A$1:$V$98,11,FALSE)</f>
        <v>3502</v>
      </c>
      <c r="O31">
        <f>VLOOKUP($A31,'Unify Report'!$A$1:$V$98,16,FALSE)</f>
        <v>356.5</v>
      </c>
      <c r="P31">
        <f>VLOOKUP($A31,'Unify Report'!$A$1:$V$98,15,FALSE)</f>
        <v>391</v>
      </c>
      <c r="Q31" s="97">
        <f>VLOOKUP($C31,CHPPD!$D$6:$Q$70,8,FALSE)</f>
        <v>705</v>
      </c>
      <c r="W31" t="s">
        <v>101</v>
      </c>
      <c r="X31" t="s">
        <v>184</v>
      </c>
      <c r="Y31" s="110" t="s">
        <v>258</v>
      </c>
      <c r="Z31" t="s">
        <v>185</v>
      </c>
      <c r="AA31" t="s">
        <v>214</v>
      </c>
    </row>
    <row r="32" spans="1:27">
      <c r="A32" s="21" t="s">
        <v>83</v>
      </c>
      <c r="B32" s="21" t="s">
        <v>237</v>
      </c>
      <c r="C32" s="70" t="s">
        <v>253</v>
      </c>
      <c r="D32" t="str">
        <f t="shared" si="0"/>
        <v>RA723</v>
      </c>
      <c r="E32" t="str">
        <f t="shared" si="1"/>
        <v>Bristol Royal Hospital For Children</v>
      </c>
      <c r="F32" t="str">
        <f t="shared" si="4"/>
        <v>E602</v>
      </c>
      <c r="G32" t="str">
        <f t="shared" si="2"/>
        <v>171 - PAEDIATRIC SURGERY</v>
      </c>
      <c r="H32" t="str">
        <f t="shared" si="3"/>
        <v>420 - PAEDIATRICS</v>
      </c>
      <c r="I32">
        <f>VLOOKUP($A32,'Unify Report'!$A$1:$V$98,4,FALSE)</f>
        <v>2358.5</v>
      </c>
      <c r="J32">
        <f>VLOOKUP($A32,'Unify Report'!$A$1:$V$98,3,FALSE)</f>
        <v>2256.5</v>
      </c>
      <c r="K32">
        <f>VLOOKUP($A32,'Unify Report'!$A$1:$V$98,8,FALSE)</f>
        <v>357.5</v>
      </c>
      <c r="L32">
        <f>VLOOKUP($A32,'Unify Report'!$A$1:$V$98,7,FALSE)</f>
        <v>316</v>
      </c>
      <c r="M32">
        <f>VLOOKUP($A32,'Unify Report'!$A$1:$V$98,12,FALSE)</f>
        <v>1690.5</v>
      </c>
      <c r="N32">
        <f>VLOOKUP($A32,'Unify Report'!$A$1:$V$98,11,FALSE)</f>
        <v>1703</v>
      </c>
      <c r="O32">
        <f>VLOOKUP($A32,'Unify Report'!$A$1:$V$98,16,FALSE)</f>
        <v>356.5</v>
      </c>
      <c r="P32">
        <f>VLOOKUP($A32,'Unify Report'!$A$1:$V$98,15,FALSE)</f>
        <v>345</v>
      </c>
      <c r="Q32" s="97">
        <f>VLOOKUP($C32,CHPPD!$D$6:$Q$70,8,FALSE)</f>
        <v>457</v>
      </c>
      <c r="W32" t="s">
        <v>109</v>
      </c>
      <c r="X32" t="s">
        <v>184</v>
      </c>
      <c r="Y32" s="110" t="s">
        <v>258</v>
      </c>
      <c r="Z32" t="s">
        <v>195</v>
      </c>
      <c r="AA32" t="s">
        <v>188</v>
      </c>
    </row>
    <row r="33" spans="1:27">
      <c r="A33" s="21" t="s">
        <v>84</v>
      </c>
      <c r="B33" s="21" t="s">
        <v>238</v>
      </c>
      <c r="C33" s="70" t="s">
        <v>252</v>
      </c>
      <c r="D33" t="str">
        <f t="shared" si="0"/>
        <v>RA723</v>
      </c>
      <c r="E33" t="str">
        <f t="shared" si="1"/>
        <v>Bristol Royal Hospital For Children</v>
      </c>
      <c r="F33" t="str">
        <f t="shared" si="4"/>
        <v>E600</v>
      </c>
      <c r="G33" t="str">
        <f t="shared" si="2"/>
        <v>321 - PAEDIATRIC CARDIOLOGY</v>
      </c>
      <c r="H33" t="str">
        <f t="shared" si="3"/>
        <v/>
      </c>
      <c r="I33">
        <f>VLOOKUP($A33,'Unify Report'!$A$1:$V$98,4,FALSE)</f>
        <v>2145</v>
      </c>
      <c r="J33">
        <f>VLOOKUP($A33,'Unify Report'!$A$1:$V$98,3,FALSE)</f>
        <v>2049</v>
      </c>
      <c r="K33">
        <f>VLOOKUP($A33,'Unify Report'!$A$1:$V$98,8,FALSE)</f>
        <v>352.5</v>
      </c>
      <c r="L33">
        <f>VLOOKUP($A33,'Unify Report'!$A$1:$V$98,7,FALSE)</f>
        <v>333.5</v>
      </c>
      <c r="M33">
        <f>VLOOKUP($A33,'Unify Report'!$A$1:$V$98,12,FALSE)</f>
        <v>1782.5</v>
      </c>
      <c r="N33">
        <f>VLOOKUP($A33,'Unify Report'!$A$1:$V$98,11,FALSE)</f>
        <v>1649</v>
      </c>
      <c r="O33">
        <f>VLOOKUP($A33,'Unify Report'!$A$1:$V$98,16,FALSE)</f>
        <v>356.5</v>
      </c>
      <c r="P33">
        <f>VLOOKUP($A33,'Unify Report'!$A$1:$V$98,15,FALSE)</f>
        <v>276</v>
      </c>
      <c r="Q33" s="97">
        <f>VLOOKUP($C33,CHPPD!$D$6:$Q$70,8,FALSE)</f>
        <v>382</v>
      </c>
      <c r="W33" t="s">
        <v>99</v>
      </c>
      <c r="X33" t="s">
        <v>184</v>
      </c>
      <c r="Y33" s="110" t="s">
        <v>258</v>
      </c>
      <c r="Z33" t="s">
        <v>185</v>
      </c>
      <c r="AA33" t="s">
        <v>214</v>
      </c>
    </row>
    <row r="34" spans="1:27">
      <c r="A34" s="21" t="s">
        <v>85</v>
      </c>
      <c r="B34" s="21" t="s">
        <v>239</v>
      </c>
      <c r="C34" s="70" t="s">
        <v>251</v>
      </c>
      <c r="D34" t="str">
        <f t="shared" si="0"/>
        <v>RA723</v>
      </c>
      <c r="E34" t="str">
        <f t="shared" si="1"/>
        <v>Bristol Royal Hospital For Children</v>
      </c>
      <c r="F34" t="str">
        <f t="shared" si="4"/>
        <v>E512</v>
      </c>
      <c r="G34" t="str">
        <f t="shared" si="2"/>
        <v>420 - PAEDIATRICS</v>
      </c>
      <c r="H34" t="str">
        <f t="shared" si="3"/>
        <v/>
      </c>
      <c r="I34">
        <f>VLOOKUP($A34,'Unify Report'!$A$1:$V$98,4,FALSE)</f>
        <v>1782.5</v>
      </c>
      <c r="J34">
        <f>VLOOKUP($A34,'Unify Report'!$A$1:$V$98,3,FALSE)</f>
        <v>1736.5</v>
      </c>
      <c r="K34">
        <f>VLOOKUP($A34,'Unify Report'!$A$1:$V$98,8,FALSE)</f>
        <v>356.5</v>
      </c>
      <c r="L34">
        <f>VLOOKUP($A34,'Unify Report'!$A$1:$V$98,7,FALSE)</f>
        <v>345</v>
      </c>
      <c r="M34">
        <f>VLOOKUP($A34,'Unify Report'!$A$1:$V$98,12,FALSE)</f>
        <v>1771</v>
      </c>
      <c r="N34">
        <f>VLOOKUP($A34,'Unify Report'!$A$1:$V$98,11,FALSE)</f>
        <v>1656</v>
      </c>
      <c r="O34">
        <f>VLOOKUP($A34,'Unify Report'!$A$1:$V$98,16,FALSE)</f>
        <v>356.5</v>
      </c>
      <c r="P34">
        <f>VLOOKUP($A34,'Unify Report'!$A$1:$V$98,15,FALSE)</f>
        <v>299</v>
      </c>
      <c r="Q34" s="97">
        <f>VLOOKUP($C34,CHPPD!$D$6:$Q$70,8,FALSE)</f>
        <v>234</v>
      </c>
      <c r="W34" t="s">
        <v>215</v>
      </c>
      <c r="X34" t="s">
        <v>184</v>
      </c>
      <c r="Y34" s="110" t="s">
        <v>258</v>
      </c>
      <c r="Z34" t="s">
        <v>185</v>
      </c>
      <c r="AA34" t="s">
        <v>188</v>
      </c>
    </row>
    <row r="35" spans="1:27">
      <c r="A35" s="21" t="s">
        <v>86</v>
      </c>
      <c r="B35" s="21" t="s">
        <v>240</v>
      </c>
      <c r="C35" s="70" t="s">
        <v>254</v>
      </c>
      <c r="D35" t="str">
        <f t="shared" si="0"/>
        <v>RA723</v>
      </c>
      <c r="E35" t="str">
        <f t="shared" si="1"/>
        <v>Bristol Royal Hospital For Children</v>
      </c>
      <c r="F35" t="str">
        <f t="shared" si="4"/>
        <v>E700</v>
      </c>
      <c r="G35" t="str">
        <f t="shared" si="2"/>
        <v>800 - CLINICAL ONCOLOGY</v>
      </c>
      <c r="H35" t="str">
        <f t="shared" si="3"/>
        <v>823 - HAEMATOLOGY</v>
      </c>
      <c r="I35">
        <f>VLOOKUP($A35,'Unify Report'!$A$1:$V$98,4,FALSE)</f>
        <v>2502</v>
      </c>
      <c r="J35">
        <f>VLOOKUP($A35,'Unify Report'!$A$1:$V$98,3,FALSE)</f>
        <v>2348.75</v>
      </c>
      <c r="K35">
        <f>VLOOKUP($A35,'Unify Report'!$A$1:$V$98,8,FALSE)</f>
        <v>352.5</v>
      </c>
      <c r="L35">
        <f>VLOOKUP($A35,'Unify Report'!$A$1:$V$98,7,FALSE)</f>
        <v>336.5</v>
      </c>
      <c r="M35">
        <f>VLOOKUP($A35,'Unify Report'!$A$1:$V$98,12,FALSE)</f>
        <v>2104.5</v>
      </c>
      <c r="N35">
        <f>VLOOKUP($A35,'Unify Report'!$A$1:$V$98,11,FALSE)</f>
        <v>1970</v>
      </c>
      <c r="O35">
        <f>VLOOKUP($A35,'Unify Report'!$A$1:$V$98,16,FALSE)</f>
        <v>356.5</v>
      </c>
      <c r="P35">
        <f>VLOOKUP($A35,'Unify Report'!$A$1:$V$98,15,FALSE)</f>
        <v>288.5</v>
      </c>
      <c r="Q35" s="97">
        <f>VLOOKUP($C35,CHPPD!$D$6:$Q$70,8,FALSE)</f>
        <v>383</v>
      </c>
      <c r="W35" t="s">
        <v>96</v>
      </c>
      <c r="X35" t="s">
        <v>184</v>
      </c>
      <c r="Y35" s="110" t="s">
        <v>258</v>
      </c>
      <c r="Z35" t="s">
        <v>185</v>
      </c>
      <c r="AA35" t="s">
        <v>188</v>
      </c>
    </row>
    <row r="36" spans="1:27">
      <c r="A36" s="21" t="s">
        <v>87</v>
      </c>
      <c r="B36" s="21" t="s">
        <v>241</v>
      </c>
      <c r="C36" s="70" t="s">
        <v>247</v>
      </c>
      <c r="D36" t="str">
        <f t="shared" si="0"/>
        <v>RA723</v>
      </c>
      <c r="E36" t="str">
        <f t="shared" si="1"/>
        <v>Bristol Royal Hospital For Children</v>
      </c>
      <c r="F36" t="str">
        <f t="shared" si="4"/>
        <v>E702</v>
      </c>
      <c r="G36" t="str">
        <f t="shared" si="2"/>
        <v>420 - PAEDIATRICS</v>
      </c>
      <c r="H36" t="str">
        <f t="shared" si="3"/>
        <v>171 - PAEDIATRIC SURGERY</v>
      </c>
      <c r="I36">
        <f>VLOOKUP($A36,'Unify Report'!$A$1:$V$98,4,FALSE)</f>
        <v>1426.5</v>
      </c>
      <c r="J36">
        <f>VLOOKUP($A36,'Unify Report'!$A$1:$V$98,3,FALSE)</f>
        <v>1506.6666666666667</v>
      </c>
      <c r="K36">
        <f>VLOOKUP($A36,'Unify Report'!$A$1:$V$98,8,FALSE)</f>
        <v>352.5</v>
      </c>
      <c r="L36">
        <f>VLOOKUP($A36,'Unify Report'!$A$1:$V$98,7,FALSE)</f>
        <v>548</v>
      </c>
      <c r="M36">
        <f>VLOOKUP($A36,'Unify Report'!$A$1:$V$98,12,FALSE)</f>
        <v>1426</v>
      </c>
      <c r="N36">
        <f>VLOOKUP($A36,'Unify Report'!$A$1:$V$98,11,FALSE)</f>
        <v>1437.5</v>
      </c>
      <c r="O36">
        <f>VLOOKUP($A36,'Unify Report'!$A$1:$V$98,16,FALSE)</f>
        <v>356.5</v>
      </c>
      <c r="P36">
        <f>VLOOKUP($A36,'Unify Report'!$A$1:$V$98,15,FALSE)</f>
        <v>447.5</v>
      </c>
      <c r="Q36" s="97">
        <f>VLOOKUP($C36,CHPPD!$D$6:$Q$70,8,FALSE)</f>
        <v>388</v>
      </c>
      <c r="W36" t="s">
        <v>216</v>
      </c>
      <c r="X36" t="s">
        <v>184</v>
      </c>
      <c r="Y36" s="110" t="s">
        <v>258</v>
      </c>
      <c r="Z36" t="s">
        <v>185</v>
      </c>
      <c r="AA36" t="s">
        <v>188</v>
      </c>
    </row>
    <row r="37" spans="1:27">
      <c r="A37" s="21" t="s">
        <v>88</v>
      </c>
      <c r="B37" s="21" t="s">
        <v>242</v>
      </c>
      <c r="C37" s="70" t="s">
        <v>255</v>
      </c>
      <c r="D37" t="str">
        <f t="shared" si="0"/>
        <v>RA723</v>
      </c>
      <c r="E37" t="str">
        <f t="shared" si="1"/>
        <v>Bristol Royal Hospital For Children</v>
      </c>
      <c r="F37" t="str">
        <f t="shared" si="4"/>
        <v>E406</v>
      </c>
      <c r="G37" t="str">
        <f t="shared" si="2"/>
        <v>361 - NEPHROLOGY</v>
      </c>
      <c r="H37" t="str">
        <f t="shared" si="3"/>
        <v>420 - PAEDIATRICS</v>
      </c>
      <c r="I37">
        <f>VLOOKUP($A37,'Unify Report'!$A$1:$V$98,4,FALSE)</f>
        <v>1059</v>
      </c>
      <c r="J37">
        <f>VLOOKUP($A37,'Unify Report'!$A$1:$V$98,3,FALSE)</f>
        <v>1034.5</v>
      </c>
      <c r="K37">
        <f>VLOOKUP($A37,'Unify Report'!$A$1:$V$98,8,FALSE)</f>
        <v>0</v>
      </c>
      <c r="L37">
        <f>VLOOKUP($A37,'Unify Report'!$A$1:$V$98,7,FALSE)</f>
        <v>23</v>
      </c>
      <c r="M37">
        <f>VLOOKUP($A37,'Unify Report'!$A$1:$V$98,12,FALSE)</f>
        <v>1070</v>
      </c>
      <c r="N37">
        <f>VLOOKUP($A37,'Unify Report'!$A$1:$V$98,11,FALSE)</f>
        <v>1012.5</v>
      </c>
      <c r="O37">
        <f>VLOOKUP($A37,'Unify Report'!$A$1:$V$98,16,FALSE)</f>
        <v>0</v>
      </c>
      <c r="P37">
        <f>VLOOKUP($A37,'Unify Report'!$A$1:$V$98,15,FALSE)</f>
        <v>80.5</v>
      </c>
      <c r="Q37" s="97">
        <f>VLOOKUP($C37,CHPPD!$D$6:$Q$70,8,FALSE)</f>
        <v>192</v>
      </c>
      <c r="W37" t="s">
        <v>217</v>
      </c>
      <c r="X37" t="s">
        <v>184</v>
      </c>
      <c r="Y37" s="110" t="s">
        <v>258</v>
      </c>
      <c r="Z37" t="s">
        <v>185</v>
      </c>
      <c r="AA37" t="s">
        <v>214</v>
      </c>
    </row>
    <row r="38" spans="1:27">
      <c r="A38" s="21" t="s">
        <v>89</v>
      </c>
      <c r="B38" s="21" t="s">
        <v>243</v>
      </c>
      <c r="C38" s="70" t="s">
        <v>256</v>
      </c>
      <c r="D38" t="str">
        <f t="shared" si="0"/>
        <v>RA723</v>
      </c>
      <c r="E38" t="str">
        <f t="shared" si="1"/>
        <v>Bristol Royal Hospital For Children</v>
      </c>
      <c r="F38" t="str">
        <f t="shared" si="4"/>
        <v>E500/1</v>
      </c>
      <c r="G38" t="str">
        <f t="shared" si="2"/>
        <v>420 - PAEDIATRICS</v>
      </c>
      <c r="H38" t="str">
        <f t="shared" si="3"/>
        <v>421 - PAEDIATRIC NEUROLOGY</v>
      </c>
      <c r="I38">
        <f>VLOOKUP($A38,'Unify Report'!$A$1:$V$98,4,FALSE)</f>
        <v>2139</v>
      </c>
      <c r="J38">
        <f>VLOOKUP($A38,'Unify Report'!$A$1:$V$98,3,FALSE)</f>
        <v>2043.5</v>
      </c>
      <c r="K38">
        <f>VLOOKUP($A38,'Unify Report'!$A$1:$V$98,8,FALSE)</f>
        <v>713</v>
      </c>
      <c r="L38">
        <f>VLOOKUP($A38,'Unify Report'!$A$1:$V$98,7,FALSE)</f>
        <v>733.25</v>
      </c>
      <c r="M38">
        <f>VLOOKUP($A38,'Unify Report'!$A$1:$V$98,12,FALSE)</f>
        <v>2139</v>
      </c>
      <c r="N38">
        <f>VLOOKUP($A38,'Unify Report'!$A$1:$V$98,11,FALSE)</f>
        <v>2047</v>
      </c>
      <c r="O38">
        <f>VLOOKUP($A38,'Unify Report'!$A$1:$V$98,16,FALSE)</f>
        <v>713</v>
      </c>
      <c r="P38">
        <f>VLOOKUP($A38,'Unify Report'!$A$1:$V$98,15,FALSE)</f>
        <v>713</v>
      </c>
      <c r="Q38" s="97">
        <f>VLOOKUP($C38,CHPPD!$D$6:$Q$70,8,FALSE)</f>
        <v>524</v>
      </c>
      <c r="W38" t="s">
        <v>218</v>
      </c>
      <c r="X38" t="s">
        <v>184</v>
      </c>
      <c r="Y38" s="110" t="s">
        <v>258</v>
      </c>
      <c r="Z38" t="s">
        <v>185</v>
      </c>
      <c r="AA38" t="s">
        <v>214</v>
      </c>
    </row>
    <row r="39" spans="1:27">
      <c r="A39" s="21" t="s">
        <v>90</v>
      </c>
      <c r="B39" s="21" t="s">
        <v>36</v>
      </c>
      <c r="C39" s="21" t="s">
        <v>124</v>
      </c>
      <c r="D39" t="str">
        <f t="shared" si="0"/>
        <v>RA707</v>
      </c>
      <c r="E39" t="str">
        <f t="shared" si="1"/>
        <v>St Michael's Hospital</v>
      </c>
      <c r="F39" t="str">
        <f t="shared" si="4"/>
        <v>MLU</v>
      </c>
      <c r="G39" t="str">
        <f t="shared" si="2"/>
        <v>501 - OBSTETRICS</v>
      </c>
      <c r="H39" t="str">
        <f t="shared" si="3"/>
        <v/>
      </c>
      <c r="I39">
        <f>VLOOKUP($A39,'Unify Report'!$A$1:$V$98,4,FALSE)</f>
        <v>778.5</v>
      </c>
      <c r="J39">
        <f>VLOOKUP($A39,'Unify Report'!$A$1:$V$98,3,FALSE)</f>
        <v>610.5</v>
      </c>
      <c r="K39">
        <f>VLOOKUP($A39,'Unify Report'!$A$1:$V$98,8,FALSE)</f>
        <v>0</v>
      </c>
      <c r="L39">
        <f>VLOOKUP($A39,'Unify Report'!$A$1:$V$98,7,FALSE)</f>
        <v>0</v>
      </c>
      <c r="M39">
        <f>VLOOKUP($A39,'Unify Report'!$A$1:$V$98,12,FALSE)</f>
        <v>768</v>
      </c>
      <c r="N39">
        <f>VLOOKUP($A39,'Unify Report'!$A$1:$V$98,11,FALSE)</f>
        <v>576</v>
      </c>
      <c r="O39">
        <f>VLOOKUP($A39,'Unify Report'!$A$1:$V$98,16,FALSE)</f>
        <v>0</v>
      </c>
      <c r="P39">
        <f>VLOOKUP($A39,'Unify Report'!$A$1:$V$98,15,FALSE)</f>
        <v>0</v>
      </c>
      <c r="Q39" s="97">
        <f>VLOOKUP($C39,CHPPD!$D$6:$Q$70,8,FALSE)</f>
        <v>27</v>
      </c>
      <c r="W39" t="s">
        <v>219</v>
      </c>
      <c r="X39" t="s">
        <v>184</v>
      </c>
      <c r="Y39" s="110" t="s">
        <v>258</v>
      </c>
      <c r="Z39" t="s">
        <v>185</v>
      </c>
      <c r="AA39" t="s">
        <v>214</v>
      </c>
    </row>
    <row r="40" spans="1:27">
      <c r="A40" s="21" t="s">
        <v>91</v>
      </c>
      <c r="B40" s="21" t="s">
        <v>35</v>
      </c>
      <c r="C40" s="22" t="s">
        <v>125</v>
      </c>
      <c r="D40" t="str">
        <f t="shared" si="0"/>
        <v>RA707</v>
      </c>
      <c r="E40" t="str">
        <f t="shared" si="1"/>
        <v>St Michael's Hospital</v>
      </c>
      <c r="F40" t="str">
        <f t="shared" si="4"/>
        <v>73</v>
      </c>
      <c r="G40" t="str">
        <f t="shared" si="2"/>
        <v>501 - OBSTETRICS</v>
      </c>
      <c r="H40" t="str">
        <f t="shared" si="3"/>
        <v/>
      </c>
      <c r="I40">
        <f>VLOOKUP($A40,'Unify Report'!$A$1:$V$98,4,FALSE)</f>
        <v>2734</v>
      </c>
      <c r="J40">
        <f>VLOOKUP($A40,'Unify Report'!$A$1:$V$98,3,FALSE)</f>
        <v>2197</v>
      </c>
      <c r="K40">
        <f>VLOOKUP($A40,'Unify Report'!$A$1:$V$98,8,FALSE)</f>
        <v>1202.5</v>
      </c>
      <c r="L40">
        <f>VLOOKUP($A40,'Unify Report'!$A$1:$V$98,7,FALSE)</f>
        <v>905.5</v>
      </c>
      <c r="M40">
        <f>VLOOKUP($A40,'Unify Report'!$A$1:$V$98,12,FALSE)</f>
        <v>2604</v>
      </c>
      <c r="N40">
        <f>VLOOKUP($A40,'Unify Report'!$A$1:$V$98,11,FALSE)</f>
        <v>2267.5</v>
      </c>
      <c r="O40">
        <f>VLOOKUP($A40,'Unify Report'!$A$1:$V$98,16,FALSE)</f>
        <v>744</v>
      </c>
      <c r="P40">
        <f>VLOOKUP($A40,'Unify Report'!$A$1:$V$98,15,FALSE)</f>
        <v>726</v>
      </c>
      <c r="Q40" s="97">
        <f>VLOOKUP($C40,CHPPD!$D$6:$Q$70,8,FALSE)</f>
        <v>912</v>
      </c>
      <c r="W40" t="s">
        <v>220</v>
      </c>
      <c r="X40" t="s">
        <v>184</v>
      </c>
      <c r="Y40" s="110" t="s">
        <v>258</v>
      </c>
      <c r="Z40" t="s">
        <v>185</v>
      </c>
      <c r="AA40" t="s">
        <v>214</v>
      </c>
    </row>
    <row r="41" spans="1:27">
      <c r="A41" s="21" t="s">
        <v>92</v>
      </c>
      <c r="B41" s="21" t="s">
        <v>38</v>
      </c>
      <c r="C41" s="22" t="s">
        <v>126</v>
      </c>
      <c r="D41" t="str">
        <f t="shared" si="0"/>
        <v>RA707</v>
      </c>
      <c r="E41" t="str">
        <f t="shared" si="1"/>
        <v>St Michael's Hospital</v>
      </c>
      <c r="F41" t="str">
        <f t="shared" si="4"/>
        <v>75</v>
      </c>
      <c r="G41" t="str">
        <f t="shared" si="2"/>
        <v>420 - PAEDIATRICS</v>
      </c>
      <c r="H41" t="str">
        <f t="shared" si="3"/>
        <v/>
      </c>
      <c r="I41">
        <f>VLOOKUP($A41,'Unify Report'!$A$1:$V$98,4,FALSE)</f>
        <v>7061</v>
      </c>
      <c r="J41">
        <f>VLOOKUP($A41,'Unify Report'!$A$1:$V$98,3,FALSE)</f>
        <v>5525.25</v>
      </c>
      <c r="K41">
        <f>VLOOKUP($A41,'Unify Report'!$A$1:$V$98,8,FALSE)</f>
        <v>370.5</v>
      </c>
      <c r="L41">
        <f>VLOOKUP($A41,'Unify Report'!$A$1:$V$98,7,FALSE)</f>
        <v>438</v>
      </c>
      <c r="M41">
        <f>VLOOKUP($A41,'Unify Report'!$A$1:$V$98,12,FALSE)</f>
        <v>6980.5</v>
      </c>
      <c r="N41">
        <f>VLOOKUP($A41,'Unify Report'!$A$1:$V$98,11,FALSE)</f>
        <v>5604.5</v>
      </c>
      <c r="O41">
        <f>VLOOKUP($A41,'Unify Report'!$A$1:$V$98,16,FALSE)</f>
        <v>356.5</v>
      </c>
      <c r="P41">
        <f>VLOOKUP($A41,'Unify Report'!$A$1:$V$98,15,FALSE)</f>
        <v>287.5</v>
      </c>
      <c r="Q41" s="97">
        <f>VLOOKUP($C41,CHPPD!$D$6:$Q$70,8,FALSE)</f>
        <v>832</v>
      </c>
      <c r="W41" t="s">
        <v>143</v>
      </c>
      <c r="X41" t="s">
        <v>184</v>
      </c>
      <c r="Y41" s="110" t="s">
        <v>258</v>
      </c>
      <c r="Z41" t="s">
        <v>185</v>
      </c>
      <c r="AA41" t="s">
        <v>214</v>
      </c>
    </row>
    <row r="42" spans="1:27">
      <c r="A42" s="21" t="s">
        <v>93</v>
      </c>
      <c r="B42" s="21" t="s">
        <v>33</v>
      </c>
      <c r="C42" s="22" t="s">
        <v>127</v>
      </c>
      <c r="D42" t="str">
        <f t="shared" si="0"/>
        <v>RA707</v>
      </c>
      <c r="E42" t="str">
        <f t="shared" si="1"/>
        <v>St Michael's Hospital</v>
      </c>
      <c r="F42" t="str">
        <f t="shared" si="4"/>
        <v>76</v>
      </c>
      <c r="G42" t="str">
        <f t="shared" si="2"/>
        <v>501 - OBSTETRICS</v>
      </c>
      <c r="H42" t="str">
        <f t="shared" si="3"/>
        <v/>
      </c>
      <c r="I42">
        <f>VLOOKUP($A42,'Unify Report'!$A$1:$V$98,4,FALSE)</f>
        <v>1094.5</v>
      </c>
      <c r="J42">
        <f>VLOOKUP($A42,'Unify Report'!$A$1:$V$98,3,FALSE)</f>
        <v>1098</v>
      </c>
      <c r="K42">
        <f>VLOOKUP($A42,'Unify Report'!$A$1:$V$98,8,FALSE)</f>
        <v>700.5</v>
      </c>
      <c r="L42">
        <f>VLOOKUP($A42,'Unify Report'!$A$1:$V$98,7,FALSE)</f>
        <v>447.5</v>
      </c>
      <c r="M42">
        <f>VLOOKUP($A42,'Unify Report'!$A$1:$V$98,12,FALSE)</f>
        <v>728.5</v>
      </c>
      <c r="N42">
        <f>VLOOKUP($A42,'Unify Report'!$A$1:$V$98,11,FALSE)</f>
        <v>728.5</v>
      </c>
      <c r="O42">
        <f>VLOOKUP($A42,'Unify Report'!$A$1:$V$98,16,FALSE)</f>
        <v>636</v>
      </c>
      <c r="P42">
        <f>VLOOKUP($A42,'Unify Report'!$A$1:$V$98,15,FALSE)</f>
        <v>372</v>
      </c>
      <c r="Q42" s="97">
        <f>VLOOKUP($C42,CHPPD!$D$6:$Q$70,8,FALSE)</f>
        <v>247</v>
      </c>
      <c r="W42" t="s">
        <v>107</v>
      </c>
      <c r="X42" t="s">
        <v>221</v>
      </c>
      <c r="Y42" s="110" t="s">
        <v>259</v>
      </c>
      <c r="Z42" t="s">
        <v>222</v>
      </c>
      <c r="AA42" t="s">
        <v>185</v>
      </c>
    </row>
    <row r="43" spans="1:27">
      <c r="A43" s="21" t="s">
        <v>94</v>
      </c>
      <c r="B43" s="21" t="s">
        <v>34</v>
      </c>
      <c r="C43" s="22" t="s">
        <v>128</v>
      </c>
      <c r="D43" t="str">
        <f t="shared" si="0"/>
        <v>RA707</v>
      </c>
      <c r="E43" t="str">
        <f t="shared" si="1"/>
        <v>St Michael's Hospital</v>
      </c>
      <c r="F43" t="str">
        <f t="shared" si="4"/>
        <v>77</v>
      </c>
      <c r="G43" t="str">
        <f t="shared" si="2"/>
        <v>501 - OBSTETRICS</v>
      </c>
      <c r="H43" t="str">
        <f t="shared" si="3"/>
        <v/>
      </c>
      <c r="I43">
        <f>VLOOKUP($A43,'Unify Report'!$A$1:$V$98,4,FALSE)</f>
        <v>3755.25</v>
      </c>
      <c r="J43">
        <f>VLOOKUP($A43,'Unify Report'!$A$1:$V$98,3,FALSE)</f>
        <v>3418.05</v>
      </c>
      <c r="K43">
        <f>VLOOKUP($A43,'Unify Report'!$A$1:$V$98,8,FALSE)</f>
        <v>775</v>
      </c>
      <c r="L43">
        <f>VLOOKUP($A43,'Unify Report'!$A$1:$V$98,7,FALSE)</f>
        <v>658.5</v>
      </c>
      <c r="M43">
        <f>VLOOKUP($A43,'Unify Report'!$A$1:$V$98,12,FALSE)</f>
        <v>3360</v>
      </c>
      <c r="N43">
        <f>VLOOKUP($A43,'Unify Report'!$A$1:$V$98,11,FALSE)</f>
        <v>3158.5</v>
      </c>
      <c r="O43">
        <f>VLOOKUP($A43,'Unify Report'!$A$1:$V$98,16,FALSE)</f>
        <v>744</v>
      </c>
      <c r="P43">
        <f>VLOOKUP($A43,'Unify Report'!$A$1:$V$98,15,FALSE)</f>
        <v>661</v>
      </c>
      <c r="Q43" s="97">
        <f>VLOOKUP($C43,CHPPD!$D$6:$Q$70,8,FALSE)</f>
        <v>259</v>
      </c>
      <c r="W43" t="s">
        <v>108</v>
      </c>
      <c r="X43" t="s">
        <v>221</v>
      </c>
      <c r="Y43" s="110" t="s">
        <v>259</v>
      </c>
      <c r="Z43" t="s">
        <v>222</v>
      </c>
      <c r="AA43" t="s">
        <v>185</v>
      </c>
    </row>
    <row r="44" spans="1:27">
      <c r="A44" s="21" t="s">
        <v>95</v>
      </c>
      <c r="B44" s="21" t="s">
        <v>37</v>
      </c>
      <c r="C44" s="22" t="s">
        <v>129</v>
      </c>
      <c r="D44" t="str">
        <f t="shared" si="0"/>
        <v>RA707</v>
      </c>
      <c r="E44" t="str">
        <f t="shared" si="1"/>
        <v>St Michael's Hospital</v>
      </c>
      <c r="F44" t="str">
        <f t="shared" si="4"/>
        <v>78</v>
      </c>
      <c r="G44" t="str">
        <f t="shared" si="2"/>
        <v>502 - GYNAECOLOGY</v>
      </c>
      <c r="H44" t="str">
        <f t="shared" si="3"/>
        <v/>
      </c>
      <c r="I44">
        <f>VLOOKUP($A44,'Unify Report'!$A$1:$V$98,4,FALSE)</f>
        <v>1295.5</v>
      </c>
      <c r="J44">
        <f>VLOOKUP($A44,'Unify Report'!$A$1:$V$98,3,FALSE)</f>
        <v>1127.6666666666667</v>
      </c>
      <c r="K44">
        <f>VLOOKUP($A44,'Unify Report'!$A$1:$V$98,8,FALSE)</f>
        <v>1012.25</v>
      </c>
      <c r="L44">
        <f>VLOOKUP($A44,'Unify Report'!$A$1:$V$98,7,FALSE)</f>
        <v>908.5</v>
      </c>
      <c r="M44">
        <f>VLOOKUP($A44,'Unify Report'!$A$1:$V$98,12,FALSE)</f>
        <v>825</v>
      </c>
      <c r="N44">
        <f>VLOOKUP($A44,'Unify Report'!$A$1:$V$98,11,FALSE)</f>
        <v>792</v>
      </c>
      <c r="O44">
        <f>VLOOKUP($A44,'Unify Report'!$A$1:$V$98,16,FALSE)</f>
        <v>583</v>
      </c>
      <c r="P44">
        <f>VLOOKUP($A44,'Unify Report'!$A$1:$V$98,15,FALSE)</f>
        <v>627</v>
      </c>
      <c r="Q44" s="97">
        <f>VLOOKUP($C44,CHPPD!$D$6:$Q$70,8,FALSE)</f>
        <v>400</v>
      </c>
      <c r="W44" s="110" t="s">
        <v>251</v>
      </c>
      <c r="X44" t="s">
        <v>196</v>
      </c>
      <c r="Y44" s="110" t="s">
        <v>259</v>
      </c>
      <c r="Z44" s="59" t="s">
        <v>198</v>
      </c>
      <c r="AA44" s="59" t="s">
        <v>188</v>
      </c>
    </row>
    <row r="45" spans="1:27">
      <c r="W45" s="58" t="s">
        <v>121</v>
      </c>
      <c r="X45" t="s">
        <v>184</v>
      </c>
      <c r="Y45" s="110" t="s">
        <v>258</v>
      </c>
      <c r="Z45" s="60" t="s">
        <v>190</v>
      </c>
      <c r="AA45" s="60"/>
    </row>
    <row r="46" spans="1:27">
      <c r="W46" s="58" t="s">
        <v>122</v>
      </c>
      <c r="X46" t="s">
        <v>184</v>
      </c>
      <c r="Y46" s="110" t="s">
        <v>258</v>
      </c>
      <c r="Z46" s="60" t="s">
        <v>190</v>
      </c>
    </row>
    <row r="47" spans="1:27">
      <c r="W47" t="s">
        <v>97</v>
      </c>
      <c r="X47" t="s">
        <v>184</v>
      </c>
      <c r="Y47" s="110" t="s">
        <v>258</v>
      </c>
      <c r="Z47" t="s">
        <v>185</v>
      </c>
    </row>
    <row r="48" spans="1:27">
      <c r="W48" t="s">
        <v>98</v>
      </c>
      <c r="X48" t="s">
        <v>184</v>
      </c>
      <c r="Y48" s="110" t="s">
        <v>258</v>
      </c>
      <c r="Z48" t="s">
        <v>214</v>
      </c>
    </row>
    <row r="49" spans="23:27">
      <c r="W49" t="s">
        <v>120</v>
      </c>
      <c r="X49" t="s">
        <v>184</v>
      </c>
      <c r="Y49" s="110" t="s">
        <v>258</v>
      </c>
      <c r="Z49" t="s">
        <v>190</v>
      </c>
    </row>
    <row r="50" spans="23:27">
      <c r="W50" t="s">
        <v>223</v>
      </c>
      <c r="X50" t="s">
        <v>184</v>
      </c>
      <c r="Y50" s="110" t="s">
        <v>258</v>
      </c>
      <c r="Z50" t="s">
        <v>185</v>
      </c>
      <c r="AA50" t="s">
        <v>214</v>
      </c>
    </row>
    <row r="51" spans="23:27">
      <c r="W51" t="s">
        <v>224</v>
      </c>
      <c r="X51" t="s">
        <v>184</v>
      </c>
      <c r="Y51" s="110" t="s">
        <v>258</v>
      </c>
      <c r="Z51" t="s">
        <v>185</v>
      </c>
      <c r="AA51" t="s">
        <v>214</v>
      </c>
    </row>
    <row r="52" spans="23:27">
      <c r="W52" t="s">
        <v>106</v>
      </c>
      <c r="X52" t="s">
        <v>184</v>
      </c>
      <c r="Y52" s="110" t="s">
        <v>258</v>
      </c>
      <c r="Z52" t="s">
        <v>185</v>
      </c>
    </row>
    <row r="53" spans="23:27">
      <c r="W53" t="s">
        <v>225</v>
      </c>
      <c r="X53" t="s">
        <v>184</v>
      </c>
      <c r="Y53" s="110" t="s">
        <v>258</v>
      </c>
      <c r="Z53" t="s">
        <v>185</v>
      </c>
    </row>
    <row r="54" spans="23:27">
      <c r="W54" t="s">
        <v>117</v>
      </c>
      <c r="X54" t="s">
        <v>184</v>
      </c>
      <c r="Y54" s="110" t="s">
        <v>258</v>
      </c>
      <c r="Z54" t="s">
        <v>185</v>
      </c>
      <c r="AA54" t="s">
        <v>190</v>
      </c>
    </row>
    <row r="55" spans="23:27">
      <c r="W55" t="s">
        <v>100</v>
      </c>
      <c r="X55" t="s">
        <v>184</v>
      </c>
      <c r="Y55" s="110" t="s">
        <v>258</v>
      </c>
      <c r="Z55" t="s">
        <v>185</v>
      </c>
    </row>
    <row r="56" spans="23:27">
      <c r="W56" t="s">
        <v>104</v>
      </c>
      <c r="X56" t="s">
        <v>184</v>
      </c>
      <c r="Y56" s="110" t="s">
        <v>258</v>
      </c>
      <c r="Z56" t="s">
        <v>214</v>
      </c>
    </row>
    <row r="57" spans="23:27">
      <c r="W57" t="s">
        <v>102</v>
      </c>
      <c r="X57" t="s">
        <v>184</v>
      </c>
      <c r="Y57" s="110" t="s">
        <v>258</v>
      </c>
      <c r="Z57" t="s">
        <v>185</v>
      </c>
    </row>
    <row r="58" spans="23:27">
      <c r="W58" s="58" t="s">
        <v>125</v>
      </c>
      <c r="X58" t="s">
        <v>201</v>
      </c>
      <c r="Y58" s="110" t="s">
        <v>260</v>
      </c>
      <c r="Z58" t="s">
        <v>202</v>
      </c>
    </row>
    <row r="59" spans="23:27">
      <c r="W59" s="58" t="s">
        <v>128</v>
      </c>
      <c r="X59" t="s">
        <v>201</v>
      </c>
      <c r="Y59" s="110" t="s">
        <v>260</v>
      </c>
      <c r="Z59" t="s">
        <v>202</v>
      </c>
    </row>
    <row r="60" spans="23:27">
      <c r="W60" t="s">
        <v>124</v>
      </c>
      <c r="X60" t="s">
        <v>201</v>
      </c>
      <c r="Y60" s="110" t="s">
        <v>260</v>
      </c>
      <c r="Z60" t="s">
        <v>202</v>
      </c>
    </row>
    <row r="61" spans="23:27">
      <c r="W61" t="s">
        <v>110</v>
      </c>
      <c r="X61" t="s">
        <v>184</v>
      </c>
      <c r="Y61" s="113" t="s">
        <v>258</v>
      </c>
      <c r="Z61" t="s">
        <v>187</v>
      </c>
      <c r="AA61" t="s">
        <v>195</v>
      </c>
    </row>
    <row r="62" spans="23:27">
      <c r="W62" s="110" t="s">
        <v>256</v>
      </c>
      <c r="X62" t="s">
        <v>196</v>
      </c>
      <c r="Y62" s="110" t="s">
        <v>259</v>
      </c>
      <c r="Z62" t="s">
        <v>198</v>
      </c>
      <c r="AA62" t="s">
        <v>205</v>
      </c>
    </row>
  </sheetData>
  <autoFilter ref="I2:P4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showGridLines="0" workbookViewId="0">
      <pane ySplit="2" topLeftCell="A3" activePane="bottomLeft" state="frozenSplit"/>
      <selection pane="bottomLeft" activeCell="C47" sqref="C47"/>
    </sheetView>
  </sheetViews>
  <sheetFormatPr defaultRowHeight="15"/>
  <cols>
    <col min="3" max="3" width="47.7109375" customWidth="1"/>
    <col min="8" max="8" width="10.140625" bestFit="1" customWidth="1"/>
    <col min="10" max="10" width="10.140625" bestFit="1" customWidth="1"/>
    <col min="12" max="12" width="10.140625" bestFit="1" customWidth="1"/>
    <col min="14" max="14" width="10.140625" bestFit="1" customWidth="1"/>
  </cols>
  <sheetData>
    <row r="1" spans="1:15" s="5" customFormat="1">
      <c r="D1" s="18"/>
      <c r="E1" s="18"/>
      <c r="F1" s="18"/>
      <c r="G1" s="18"/>
      <c r="H1" s="114" t="s">
        <v>179</v>
      </c>
      <c r="I1" s="115"/>
      <c r="J1" s="114" t="s">
        <v>180</v>
      </c>
      <c r="K1" s="115"/>
      <c r="L1" s="114" t="s">
        <v>181</v>
      </c>
      <c r="M1" s="115"/>
      <c r="N1" s="114" t="s">
        <v>182</v>
      </c>
      <c r="O1" s="115"/>
    </row>
    <row r="2" spans="1:15" s="5" customFormat="1">
      <c r="A2" s="19" t="s">
        <v>183</v>
      </c>
      <c r="B2" s="19" t="s">
        <v>130</v>
      </c>
      <c r="C2" s="19" t="s">
        <v>154</v>
      </c>
      <c r="D2" s="23" t="s">
        <v>155</v>
      </c>
      <c r="E2" s="24" t="s">
        <v>158</v>
      </c>
      <c r="F2" s="24" t="s">
        <v>163</v>
      </c>
      <c r="G2" s="24" t="s">
        <v>170</v>
      </c>
      <c r="H2" s="25" t="s">
        <v>147</v>
      </c>
      <c r="I2" s="26" t="s">
        <v>148</v>
      </c>
      <c r="J2" s="25" t="s">
        <v>147</v>
      </c>
      <c r="K2" s="26" t="s">
        <v>148</v>
      </c>
      <c r="L2" s="25" t="s">
        <v>147</v>
      </c>
      <c r="M2" s="26" t="s">
        <v>148</v>
      </c>
      <c r="N2" s="25" t="s">
        <v>147</v>
      </c>
      <c r="O2" s="27" t="s">
        <v>148</v>
      </c>
    </row>
    <row r="3" spans="1:15">
      <c r="A3" s="21">
        <v>201908</v>
      </c>
      <c r="B3" s="21" t="s">
        <v>54</v>
      </c>
      <c r="C3" s="21" t="s">
        <v>17</v>
      </c>
      <c r="D3" s="21" t="s">
        <v>96</v>
      </c>
      <c r="E3" s="56" t="s">
        <v>159</v>
      </c>
      <c r="F3" s="56" t="s">
        <v>164</v>
      </c>
      <c r="G3" s="56" t="s">
        <v>159</v>
      </c>
      <c r="H3" s="28">
        <f>VLOOKUP($B3,'Unify Report'!$A$2:$V$98,3,FALSE)</f>
        <v>1397.3333333333333</v>
      </c>
      <c r="I3" s="29">
        <f>VLOOKUP($B3,'Unify Report'!$A$2:$V$98,4,FALSE)</f>
        <v>1414.5</v>
      </c>
      <c r="J3" s="28">
        <f>VLOOKUP($B3,'Unify Report'!$A$2:$V$98,11,FALSE)</f>
        <v>1034</v>
      </c>
      <c r="K3" s="29">
        <f>VLOOKUP($B3,'Unify Report'!$A$2:$V$98,12,FALSE)</f>
        <v>1023</v>
      </c>
      <c r="L3" s="28">
        <f>VLOOKUP($B3,'Unify Report'!$A$2:$V$98,7,FALSE)</f>
        <v>1911.25</v>
      </c>
      <c r="M3" s="29">
        <f>VLOOKUP($B3,'Unify Report'!$A$2:$V$98,8,FALSE)</f>
        <v>1220.75</v>
      </c>
      <c r="N3" s="28">
        <f>VLOOKUP($B3,'Unify Report'!$A$2:$V$98,15,FALSE)</f>
        <v>1770.75</v>
      </c>
      <c r="O3" s="30">
        <f>VLOOKUP($B3,'Unify Report'!$A$2:$V$98,16,FALSE)</f>
        <v>1023</v>
      </c>
    </row>
    <row r="4" spans="1:15">
      <c r="A4" s="21">
        <v>201908</v>
      </c>
      <c r="B4" s="21" t="s">
        <v>55</v>
      </c>
      <c r="C4" s="21" t="s">
        <v>20</v>
      </c>
      <c r="D4" s="21" t="s">
        <v>97</v>
      </c>
      <c r="E4" s="56" t="s">
        <v>159</v>
      </c>
      <c r="F4" s="56" t="s">
        <v>164</v>
      </c>
      <c r="G4" s="56" t="s">
        <v>159</v>
      </c>
      <c r="H4" s="28">
        <f>VLOOKUP($B4,'Unify Report'!$A$2:$V$98,3,FALSE)</f>
        <v>2431.6666666666665</v>
      </c>
      <c r="I4" s="29">
        <f>VLOOKUP($B4,'Unify Report'!$A$2:$V$98,4,FALSE)</f>
        <v>2621.1666666666665</v>
      </c>
      <c r="J4" s="28">
        <f>VLOOKUP($B4,'Unify Report'!$A$2:$V$98,11,FALSE)</f>
        <v>2332.5</v>
      </c>
      <c r="K4" s="29">
        <f>VLOOKUP($B4,'Unify Report'!$A$2:$V$98,12,FALSE)</f>
        <v>2386.5</v>
      </c>
      <c r="L4" s="28">
        <f>VLOOKUP($B4,'Unify Report'!$A$2:$V$98,7,FALSE)</f>
        <v>1952.9166666666667</v>
      </c>
      <c r="M4" s="29">
        <f>VLOOKUP($B4,'Unify Report'!$A$2:$V$98,8,FALSE)</f>
        <v>1867</v>
      </c>
      <c r="N4" s="28">
        <f>VLOOKUP($B4,'Unify Report'!$A$2:$V$98,15,FALSE)</f>
        <v>1897.5</v>
      </c>
      <c r="O4" s="30">
        <f>VLOOKUP($B4,'Unify Report'!$A$2:$V$98,16,FALSE)</f>
        <v>1705</v>
      </c>
    </row>
    <row r="5" spans="1:15">
      <c r="A5" s="21">
        <v>201908</v>
      </c>
      <c r="B5" s="21" t="s">
        <v>56</v>
      </c>
      <c r="C5" s="21" t="s">
        <v>19</v>
      </c>
      <c r="D5" s="21" t="s">
        <v>98</v>
      </c>
      <c r="E5" s="56" t="s">
        <v>159</v>
      </c>
      <c r="F5" s="56" t="s">
        <v>164</v>
      </c>
      <c r="G5" s="56" t="s">
        <v>159</v>
      </c>
      <c r="H5" s="28">
        <f>VLOOKUP($B5,'Unify Report'!$A$2:$V$98,3,FALSE)</f>
        <v>1993.3333333333333</v>
      </c>
      <c r="I5" s="29">
        <f>VLOOKUP($B5,'Unify Report'!$A$2:$V$98,4,FALSE)</f>
        <v>2247.8333333333298</v>
      </c>
      <c r="J5" s="28">
        <f>VLOOKUP($B5,'Unify Report'!$A$2:$V$98,11,FALSE)</f>
        <v>1684</v>
      </c>
      <c r="K5" s="29">
        <f>VLOOKUP($B5,'Unify Report'!$A$2:$V$98,12,FALSE)</f>
        <v>1705</v>
      </c>
      <c r="L5" s="28">
        <f>VLOOKUP($B5,'Unify Report'!$A$2:$V$98,7,FALSE)</f>
        <v>2098.75</v>
      </c>
      <c r="M5" s="29">
        <f>VLOOKUP($B5,'Unify Report'!$A$2:$V$98,8,FALSE)</f>
        <v>1850.75</v>
      </c>
      <c r="N5" s="28">
        <f>VLOOKUP($B5,'Unify Report'!$A$2:$V$98,15,FALSE)</f>
        <v>1661.5</v>
      </c>
      <c r="O5" s="30">
        <f>VLOOKUP($B5,'Unify Report'!$A$2:$V$98,16,FALSE)</f>
        <v>1364</v>
      </c>
    </row>
    <row r="6" spans="1:15">
      <c r="A6" s="21">
        <v>201908</v>
      </c>
      <c r="B6" s="21" t="s">
        <v>57</v>
      </c>
      <c r="C6" s="21" t="s">
        <v>13</v>
      </c>
      <c r="D6" s="21" t="s">
        <v>99</v>
      </c>
      <c r="E6" s="56" t="s">
        <v>159</v>
      </c>
      <c r="F6" s="56" t="s">
        <v>164</v>
      </c>
      <c r="G6" s="56" t="s">
        <v>159</v>
      </c>
      <c r="H6" s="28">
        <f>VLOOKUP($B6,'Unify Report'!$A$2:$V$98,3,FALSE)</f>
        <v>1688.5</v>
      </c>
      <c r="I6" s="29">
        <f>VLOOKUP($B6,'Unify Report'!$A$2:$V$98,4,FALSE)</f>
        <v>1865.5</v>
      </c>
      <c r="J6" s="28">
        <f>VLOOKUP($B6,'Unify Report'!$A$2:$V$98,11,FALSE)</f>
        <v>1452</v>
      </c>
      <c r="K6" s="29">
        <f>VLOOKUP($B6,'Unify Report'!$A$2:$V$98,12,FALSE)</f>
        <v>1364</v>
      </c>
      <c r="L6" s="28">
        <f>VLOOKUP($B6,'Unify Report'!$A$2:$V$98,7,FALSE)</f>
        <v>1180.9166666666667</v>
      </c>
      <c r="M6" s="29">
        <f>VLOOKUP($B6,'Unify Report'!$A$2:$V$98,8,FALSE)</f>
        <v>1110.75</v>
      </c>
      <c r="N6" s="28">
        <f>VLOOKUP($B6,'Unify Report'!$A$2:$V$98,15,FALSE)</f>
        <v>1199</v>
      </c>
      <c r="O6" s="30">
        <f>VLOOKUP($B6,'Unify Report'!$A$2:$V$98,16,FALSE)</f>
        <v>1023</v>
      </c>
    </row>
    <row r="7" spans="1:15">
      <c r="A7" s="21">
        <v>201908</v>
      </c>
      <c r="B7" s="21" t="s">
        <v>58</v>
      </c>
      <c r="C7" s="21" t="s">
        <v>18</v>
      </c>
      <c r="D7" s="21" t="s">
        <v>100</v>
      </c>
      <c r="E7" s="56" t="s">
        <v>159</v>
      </c>
      <c r="F7" s="56" t="s">
        <v>164</v>
      </c>
      <c r="G7" s="56" t="s">
        <v>159</v>
      </c>
      <c r="H7" s="28">
        <f>VLOOKUP($B7,'Unify Report'!$A$2:$V$98,3,FALSE)</f>
        <v>1072.75</v>
      </c>
      <c r="I7" s="29">
        <f>VLOOKUP($B7,'Unify Report'!$A$2:$V$98,4,FALSE)</f>
        <v>1120.25</v>
      </c>
      <c r="J7" s="28">
        <f>VLOOKUP($B7,'Unify Report'!$A$2:$V$98,11,FALSE)</f>
        <v>682</v>
      </c>
      <c r="K7" s="29">
        <f>VLOOKUP($B7,'Unify Report'!$A$2:$V$98,12,FALSE)</f>
        <v>682</v>
      </c>
      <c r="L7" s="28">
        <f>VLOOKUP($B7,'Unify Report'!$A$2:$V$98,7,FALSE)</f>
        <v>844.75</v>
      </c>
      <c r="M7" s="29">
        <f>VLOOKUP($B7,'Unify Report'!$A$2:$V$98,8,FALSE)</f>
        <v>740.25</v>
      </c>
      <c r="N7" s="28">
        <f>VLOOKUP($B7,'Unify Report'!$A$2:$V$98,15,FALSE)</f>
        <v>825</v>
      </c>
      <c r="O7" s="30">
        <f>VLOOKUP($B7,'Unify Report'!$A$2:$V$98,16,FALSE)</f>
        <v>682</v>
      </c>
    </row>
    <row r="8" spans="1:15">
      <c r="A8" s="21">
        <v>201908</v>
      </c>
      <c r="B8" s="21" t="s">
        <v>59</v>
      </c>
      <c r="C8" s="21" t="s">
        <v>15</v>
      </c>
      <c r="D8" s="21" t="s">
        <v>101</v>
      </c>
      <c r="E8" s="56" t="s">
        <v>159</v>
      </c>
      <c r="F8" s="56" t="s">
        <v>164</v>
      </c>
      <c r="G8" s="56" t="s">
        <v>159</v>
      </c>
      <c r="H8" s="28">
        <f>VLOOKUP($B8,'Unify Report'!$A$2:$V$98,3,FALSE)</f>
        <v>1589.75</v>
      </c>
      <c r="I8" s="29">
        <f>VLOOKUP($B8,'Unify Report'!$A$2:$V$98,4,FALSE)</f>
        <v>1631.75</v>
      </c>
      <c r="J8" s="28">
        <f>VLOOKUP($B8,'Unify Report'!$A$2:$V$98,11,FALSE)</f>
        <v>968</v>
      </c>
      <c r="K8" s="29">
        <f>VLOOKUP($B8,'Unify Report'!$A$2:$V$98,12,FALSE)</f>
        <v>1023</v>
      </c>
      <c r="L8" s="28">
        <f>VLOOKUP($B8,'Unify Report'!$A$2:$V$98,7,FALSE)</f>
        <v>1582.25</v>
      </c>
      <c r="M8" s="29">
        <f>VLOOKUP($B8,'Unify Report'!$A$2:$V$98,8,FALSE)</f>
        <v>1111.75</v>
      </c>
      <c r="N8" s="28">
        <f>VLOOKUP($B8,'Unify Report'!$A$2:$V$98,15,FALSE)</f>
        <v>1493.75</v>
      </c>
      <c r="O8" s="30">
        <f>VLOOKUP($B8,'Unify Report'!$A$2:$V$98,16,FALSE)</f>
        <v>1021</v>
      </c>
    </row>
    <row r="9" spans="1:15">
      <c r="A9" s="21">
        <v>201908</v>
      </c>
      <c r="B9" s="21" t="s">
        <v>60</v>
      </c>
      <c r="C9" s="21" t="s">
        <v>22</v>
      </c>
      <c r="D9" s="21" t="s">
        <v>102</v>
      </c>
      <c r="E9" s="56" t="s">
        <v>159</v>
      </c>
      <c r="F9" s="56" t="s">
        <v>164</v>
      </c>
      <c r="G9" s="56" t="s">
        <v>159</v>
      </c>
      <c r="H9" s="28">
        <f>VLOOKUP($B9,'Unify Report'!$A$2:$V$98,3,FALSE)</f>
        <v>1127.75</v>
      </c>
      <c r="I9" s="29">
        <f>VLOOKUP($B9,'Unify Report'!$A$2:$V$98,4,FALSE)</f>
        <v>1115.75</v>
      </c>
      <c r="J9" s="28">
        <f>VLOOKUP($B9,'Unify Report'!$A$2:$V$98,11,FALSE)</f>
        <v>1023</v>
      </c>
      <c r="K9" s="29">
        <f>VLOOKUP($B9,'Unify Report'!$A$2:$V$98,12,FALSE)</f>
        <v>1023</v>
      </c>
      <c r="L9" s="28">
        <f>VLOOKUP($B9,'Unify Report'!$A$2:$V$98,7,FALSE)</f>
        <v>986.25</v>
      </c>
      <c r="M9" s="29">
        <f>VLOOKUP($B9,'Unify Report'!$A$2:$V$98,8,FALSE)</f>
        <v>929</v>
      </c>
      <c r="N9" s="28">
        <f>VLOOKUP($B9,'Unify Report'!$A$2:$V$98,15,FALSE)</f>
        <v>539</v>
      </c>
      <c r="O9" s="30">
        <f>VLOOKUP($B9,'Unify Report'!$A$2:$V$98,16,FALSE)</f>
        <v>341</v>
      </c>
    </row>
    <row r="10" spans="1:15">
      <c r="A10" s="21">
        <v>201908</v>
      </c>
      <c r="B10" s="21" t="s">
        <v>61</v>
      </c>
      <c r="C10" s="21" t="s">
        <v>23</v>
      </c>
      <c r="D10" s="21" t="s">
        <v>103</v>
      </c>
      <c r="E10" s="56" t="s">
        <v>159</v>
      </c>
      <c r="F10" s="56" t="s">
        <v>164</v>
      </c>
      <c r="G10" s="56" t="s">
        <v>159</v>
      </c>
      <c r="H10" s="28">
        <f>VLOOKUP($B10,'Unify Report'!$A$2:$V$98,3,FALSE)</f>
        <v>1583.25</v>
      </c>
      <c r="I10" s="29">
        <f>VLOOKUP($B10,'Unify Report'!$A$2:$V$98,4,FALSE)</f>
        <v>1483</v>
      </c>
      <c r="J10" s="28">
        <f>VLOOKUP($B10,'Unify Report'!$A$2:$V$98,11,FALSE)</f>
        <v>1515.5</v>
      </c>
      <c r="K10" s="29">
        <f>VLOOKUP($B10,'Unify Report'!$A$2:$V$98,12,FALSE)</f>
        <v>1364</v>
      </c>
      <c r="L10" s="28">
        <f>VLOOKUP($B10,'Unify Report'!$A$2:$V$98,7,FALSE)</f>
        <v>741.25</v>
      </c>
      <c r="M10" s="29">
        <f>VLOOKUP($B10,'Unify Report'!$A$2:$V$98,8,FALSE)</f>
        <v>743.5</v>
      </c>
      <c r="N10" s="28">
        <f>VLOOKUP($B10,'Unify Report'!$A$2:$V$98,15,FALSE)</f>
        <v>675.75</v>
      </c>
      <c r="O10" s="30">
        <f>VLOOKUP($B10,'Unify Report'!$A$2:$V$98,16,FALSE)</f>
        <v>682</v>
      </c>
    </row>
    <row r="11" spans="1:15">
      <c r="A11" s="21">
        <v>201908</v>
      </c>
      <c r="B11" s="21" t="s">
        <v>62</v>
      </c>
      <c r="C11" s="21" t="s">
        <v>16</v>
      </c>
      <c r="D11" s="21" t="s">
        <v>104</v>
      </c>
      <c r="E11" s="56" t="s">
        <v>159</v>
      </c>
      <c r="F11" s="56" t="s">
        <v>164</v>
      </c>
      <c r="G11" s="56" t="s">
        <v>159</v>
      </c>
      <c r="H11" s="28">
        <f>VLOOKUP($B11,'Unify Report'!$A$2:$V$98,3,FALSE)</f>
        <v>1202.5</v>
      </c>
      <c r="I11" s="29">
        <f>VLOOKUP($B11,'Unify Report'!$A$2:$V$98,4,FALSE)</f>
        <v>1120.25</v>
      </c>
      <c r="J11" s="28">
        <f>VLOOKUP($B11,'Unify Report'!$A$2:$V$98,11,FALSE)</f>
        <v>682</v>
      </c>
      <c r="K11" s="29">
        <f>VLOOKUP($B11,'Unify Report'!$A$2:$V$98,12,FALSE)</f>
        <v>682</v>
      </c>
      <c r="L11" s="28">
        <f>VLOOKUP($B11,'Unify Report'!$A$2:$V$98,7,FALSE)</f>
        <v>1405.5</v>
      </c>
      <c r="M11" s="29">
        <f>VLOOKUP($B11,'Unify Report'!$A$2:$V$98,8,FALSE)</f>
        <v>1095</v>
      </c>
      <c r="N11" s="28">
        <f>VLOOKUP($B11,'Unify Report'!$A$2:$V$98,15,FALSE)</f>
        <v>1436.5</v>
      </c>
      <c r="O11" s="30">
        <f>VLOOKUP($B11,'Unify Report'!$A$2:$V$98,16,FALSE)</f>
        <v>682</v>
      </c>
    </row>
    <row r="12" spans="1:15">
      <c r="A12" s="21">
        <v>201908</v>
      </c>
      <c r="B12" s="21" t="s">
        <v>63</v>
      </c>
      <c r="C12" s="21" t="s">
        <v>14</v>
      </c>
      <c r="D12" s="21" t="s">
        <v>105</v>
      </c>
      <c r="E12" s="56" t="s">
        <v>159</v>
      </c>
      <c r="F12" s="56" t="s">
        <v>164</v>
      </c>
      <c r="G12" s="56" t="s">
        <v>159</v>
      </c>
      <c r="H12" s="28">
        <f>VLOOKUP($B12,'Unify Report'!$A$2:$V$98,3,FALSE)</f>
        <v>739.25</v>
      </c>
      <c r="I12" s="29">
        <f>VLOOKUP($B12,'Unify Report'!$A$2:$V$98,4,FALSE)</f>
        <v>745.75</v>
      </c>
      <c r="J12" s="28">
        <f>VLOOKUP($B12,'Unify Report'!$A$2:$V$98,11,FALSE)</f>
        <v>681.75</v>
      </c>
      <c r="K12" s="29">
        <f>VLOOKUP($B12,'Unify Report'!$A$2:$V$98,12,FALSE)</f>
        <v>682</v>
      </c>
      <c r="L12" s="28">
        <f>VLOOKUP($B12,'Unify Report'!$A$2:$V$98,7,FALSE)</f>
        <v>1373.5</v>
      </c>
      <c r="M12" s="29">
        <f>VLOOKUP($B12,'Unify Report'!$A$2:$V$98,8,FALSE)</f>
        <v>1488</v>
      </c>
      <c r="N12" s="28">
        <f>VLOOKUP($B12,'Unify Report'!$A$2:$V$98,15,FALSE)</f>
        <v>770</v>
      </c>
      <c r="O12" s="30">
        <f>VLOOKUP($B12,'Unify Report'!$A$2:$V$98,16,FALSE)</f>
        <v>682</v>
      </c>
    </row>
    <row r="13" spans="1:15">
      <c r="A13" s="21">
        <v>201908</v>
      </c>
      <c r="B13" s="21" t="s">
        <v>64</v>
      </c>
      <c r="C13" s="21" t="s">
        <v>21</v>
      </c>
      <c r="D13" s="21" t="s">
        <v>106</v>
      </c>
      <c r="E13" s="56" t="s">
        <v>159</v>
      </c>
      <c r="F13" s="56" t="s">
        <v>164</v>
      </c>
      <c r="G13" s="56" t="s">
        <v>159</v>
      </c>
      <c r="H13" s="28">
        <f>VLOOKUP($B13,'Unify Report'!$A$2:$V$98,3,FALSE)</f>
        <v>1305.25</v>
      </c>
      <c r="I13" s="29">
        <f>VLOOKUP($B13,'Unify Report'!$A$2:$V$98,4,FALSE)</f>
        <v>1372.75</v>
      </c>
      <c r="J13" s="28">
        <f>VLOOKUP($B13,'Unify Report'!$A$2:$V$98,11,FALSE)</f>
        <v>1023</v>
      </c>
      <c r="K13" s="29">
        <f>VLOOKUP($B13,'Unify Report'!$A$2:$V$98,12,FALSE)</f>
        <v>1023</v>
      </c>
      <c r="L13" s="28">
        <f>VLOOKUP($B13,'Unify Report'!$A$2:$V$98,7,FALSE)</f>
        <v>1071</v>
      </c>
      <c r="M13" s="29">
        <f>VLOOKUP($B13,'Unify Report'!$A$2:$V$98,8,FALSE)</f>
        <v>1127.25</v>
      </c>
      <c r="N13" s="28">
        <f>VLOOKUP($B13,'Unify Report'!$A$2:$V$98,15,FALSE)</f>
        <v>682</v>
      </c>
      <c r="O13" s="30">
        <f>VLOOKUP($B13,'Unify Report'!$A$2:$V$98,16,FALSE)</f>
        <v>682</v>
      </c>
    </row>
    <row r="14" spans="1:15">
      <c r="A14" s="21">
        <v>201908</v>
      </c>
      <c r="B14" s="21" t="s">
        <v>65</v>
      </c>
      <c r="C14" s="21" t="s">
        <v>24</v>
      </c>
      <c r="D14" s="22" t="s">
        <v>107</v>
      </c>
      <c r="E14" s="56" t="s">
        <v>159</v>
      </c>
      <c r="F14" s="57" t="s">
        <v>165</v>
      </c>
      <c r="G14" s="56" t="s">
        <v>159</v>
      </c>
      <c r="H14" s="28">
        <f>VLOOKUP($B14,'Unify Report'!$A$2:$V$98,3,FALSE)</f>
        <v>1604.25</v>
      </c>
      <c r="I14" s="29">
        <f>VLOOKUP($B14,'Unify Report'!$A$2:$V$98,4,FALSE)</f>
        <v>1504.5</v>
      </c>
      <c r="J14" s="28">
        <f>VLOOKUP($B14,'Unify Report'!$A$2:$V$98,11,FALSE)</f>
        <v>825</v>
      </c>
      <c r="K14" s="29">
        <f>VLOOKUP($B14,'Unify Report'!$A$2:$V$98,12,FALSE)</f>
        <v>682</v>
      </c>
      <c r="L14" s="28">
        <f>VLOOKUP($B14,'Unify Report'!$A$2:$V$98,7,FALSE)</f>
        <v>1758.25</v>
      </c>
      <c r="M14" s="29">
        <f>VLOOKUP($B14,'Unify Report'!$A$2:$V$98,8,FALSE)</f>
        <v>1885.5</v>
      </c>
      <c r="N14" s="28">
        <f>VLOOKUP($B14,'Unify Report'!$A$2:$V$98,15,FALSE)</f>
        <v>1213.25</v>
      </c>
      <c r="O14" s="30">
        <f>VLOOKUP($B14,'Unify Report'!$A$2:$V$98,16,FALSE)</f>
        <v>1023</v>
      </c>
    </row>
    <row r="15" spans="1:15">
      <c r="A15" s="21">
        <v>201908</v>
      </c>
      <c r="B15" s="21" t="s">
        <v>66</v>
      </c>
      <c r="C15" s="21" t="s">
        <v>25</v>
      </c>
      <c r="D15" s="22" t="s">
        <v>108</v>
      </c>
      <c r="E15" s="56" t="s">
        <v>159</v>
      </c>
      <c r="F15" s="57" t="s">
        <v>165</v>
      </c>
      <c r="G15" s="56" t="s">
        <v>159</v>
      </c>
      <c r="H15" s="28">
        <f>VLOOKUP($B15,'Unify Report'!$A$2:$V$98,3,FALSE)</f>
        <v>1610.1666666666667</v>
      </c>
      <c r="I15" s="29">
        <f>VLOOKUP($B15,'Unify Report'!$A$2:$V$98,4,FALSE)</f>
        <v>1503.5</v>
      </c>
      <c r="J15" s="28">
        <f>VLOOKUP($B15,'Unify Report'!$A$2:$V$98,11,FALSE)</f>
        <v>879.58333333333337</v>
      </c>
      <c r="K15" s="29">
        <f>VLOOKUP($B15,'Unify Report'!$A$2:$V$98,12,FALSE)</f>
        <v>682</v>
      </c>
      <c r="L15" s="28">
        <f>VLOOKUP($B15,'Unify Report'!$A$2:$V$98,7,FALSE)</f>
        <v>1432.25</v>
      </c>
      <c r="M15" s="29">
        <f>VLOOKUP($B15,'Unify Report'!$A$2:$V$98,8,FALSE)</f>
        <v>1682.75</v>
      </c>
      <c r="N15" s="28">
        <f>VLOOKUP($B15,'Unify Report'!$A$2:$V$98,15,FALSE)</f>
        <v>1188</v>
      </c>
      <c r="O15" s="30">
        <f>VLOOKUP($B15,'Unify Report'!$A$2:$V$98,16,FALSE)</f>
        <v>1023</v>
      </c>
    </row>
    <row r="16" spans="1:15">
      <c r="A16" s="21">
        <v>201908</v>
      </c>
      <c r="B16" s="21" t="s">
        <v>67</v>
      </c>
      <c r="C16" s="21" t="s">
        <v>27</v>
      </c>
      <c r="D16" s="21" t="s">
        <v>109</v>
      </c>
      <c r="E16" s="56" t="s">
        <v>160</v>
      </c>
      <c r="F16" s="56" t="s">
        <v>164</v>
      </c>
      <c r="G16" s="56" t="s">
        <v>171</v>
      </c>
      <c r="H16" s="28">
        <f>VLOOKUP($B16,'Unify Report'!$A$2:$V$98,3,FALSE)</f>
        <v>1718.25</v>
      </c>
      <c r="I16" s="29">
        <f>VLOOKUP($B16,'Unify Report'!$A$2:$V$98,4,FALSE)</f>
        <v>1859.75</v>
      </c>
      <c r="J16" s="28">
        <f>VLOOKUP($B16,'Unify Report'!$A$2:$V$98,11,FALSE)</f>
        <v>1342</v>
      </c>
      <c r="K16" s="29">
        <f>VLOOKUP($B16,'Unify Report'!$A$2:$V$98,12,FALSE)</f>
        <v>1364</v>
      </c>
      <c r="L16" s="28">
        <f>VLOOKUP($B16,'Unify Report'!$A$2:$V$98,7,FALSE)</f>
        <v>367</v>
      </c>
      <c r="M16" s="29">
        <f>VLOOKUP($B16,'Unify Report'!$A$2:$V$98,8,FALSE)</f>
        <v>367</v>
      </c>
      <c r="N16" s="28">
        <f>VLOOKUP($B16,'Unify Report'!$A$2:$V$98,15,FALSE)</f>
        <v>374</v>
      </c>
      <c r="O16" s="30">
        <f>VLOOKUP($B16,'Unify Report'!$A$2:$V$98,16,FALSE)</f>
        <v>341</v>
      </c>
    </row>
    <row r="17" spans="1:15">
      <c r="A17" s="21">
        <v>201908</v>
      </c>
      <c r="B17" s="21" t="s">
        <v>68</v>
      </c>
      <c r="C17" s="21" t="s">
        <v>30</v>
      </c>
      <c r="D17" s="21" t="s">
        <v>110</v>
      </c>
      <c r="E17" s="56" t="s">
        <v>160</v>
      </c>
      <c r="F17" s="56" t="s">
        <v>164</v>
      </c>
      <c r="G17" s="56" t="s">
        <v>171</v>
      </c>
      <c r="H17" s="28">
        <f>VLOOKUP($B17,'Unify Report'!$A$2:$V$98,3,FALSE)</f>
        <v>6127.333333333333</v>
      </c>
      <c r="I17" s="29">
        <f>VLOOKUP($B17,'Unify Report'!$A$2:$V$98,4,FALSE)</f>
        <v>6404.583333333333</v>
      </c>
      <c r="J17" s="28">
        <f>VLOOKUP($B17,'Unify Report'!$A$2:$V$98,11,FALSE)</f>
        <v>5883.25</v>
      </c>
      <c r="K17" s="29">
        <f>VLOOKUP($B17,'Unify Report'!$A$2:$V$98,12,FALSE)</f>
        <v>6394</v>
      </c>
      <c r="L17" s="28">
        <f>VLOOKUP($B17,'Unify Report'!$A$2:$V$98,7,FALSE)</f>
        <v>466.75</v>
      </c>
      <c r="M17" s="29">
        <f>VLOOKUP($B17,'Unify Report'!$A$2:$V$98,8,FALSE)</f>
        <v>456.75</v>
      </c>
      <c r="N17" s="28">
        <f>VLOOKUP($B17,'Unify Report'!$A$2:$V$98,15,FALSE)</f>
        <v>494.5</v>
      </c>
      <c r="O17" s="30">
        <f>VLOOKUP($B17,'Unify Report'!$A$2:$V$98,16,FALSE)</f>
        <v>356.5</v>
      </c>
    </row>
    <row r="18" spans="1:15">
      <c r="A18" s="21">
        <v>201908</v>
      </c>
      <c r="B18" s="21" t="s">
        <v>69</v>
      </c>
      <c r="C18" s="21" t="s">
        <v>29</v>
      </c>
      <c r="D18" s="21" t="s">
        <v>111</v>
      </c>
      <c r="E18" s="56" t="s">
        <v>160</v>
      </c>
      <c r="F18" s="56" t="s">
        <v>164</v>
      </c>
      <c r="G18" s="56" t="s">
        <v>171</v>
      </c>
      <c r="H18" s="28">
        <f>VLOOKUP($B18,'Unify Report'!$A$2:$V$98,3,FALSE)</f>
        <v>1392</v>
      </c>
      <c r="I18" s="29">
        <f>VLOOKUP($B18,'Unify Report'!$A$2:$V$98,4,FALSE)</f>
        <v>1438.5</v>
      </c>
      <c r="J18" s="28">
        <f>VLOOKUP($B18,'Unify Report'!$A$2:$V$98,11,FALSE)</f>
        <v>1024.75</v>
      </c>
      <c r="K18" s="29">
        <f>VLOOKUP($B18,'Unify Report'!$A$2:$V$98,12,FALSE)</f>
        <v>1023</v>
      </c>
      <c r="L18" s="28">
        <f>VLOOKUP($B18,'Unify Report'!$A$2:$V$98,7,FALSE)</f>
        <v>1282</v>
      </c>
      <c r="M18" s="29">
        <f>VLOOKUP($B18,'Unify Report'!$A$2:$V$98,8,FALSE)</f>
        <v>1108.25</v>
      </c>
      <c r="N18" s="28">
        <f>VLOOKUP($B18,'Unify Report'!$A$2:$V$98,15,FALSE)</f>
        <v>616</v>
      </c>
      <c r="O18" s="30">
        <f>VLOOKUP($B18,'Unify Report'!$A$2:$V$98,16,FALSE)</f>
        <v>341</v>
      </c>
    </row>
    <row r="19" spans="1:15">
      <c r="A19" s="21">
        <v>201908</v>
      </c>
      <c r="B19" s="21" t="s">
        <v>70</v>
      </c>
      <c r="C19" s="21" t="s">
        <v>28</v>
      </c>
      <c r="D19" s="21" t="s">
        <v>112</v>
      </c>
      <c r="E19" s="56" t="s">
        <v>160</v>
      </c>
      <c r="F19" s="56" t="s">
        <v>164</v>
      </c>
      <c r="G19" s="56" t="s">
        <v>171</v>
      </c>
      <c r="H19" s="28">
        <f>VLOOKUP($B19,'Unify Report'!$A$2:$V$98,3,FALSE)</f>
        <v>1297.75</v>
      </c>
      <c r="I19" s="29">
        <f>VLOOKUP($B19,'Unify Report'!$A$2:$V$98,4,FALSE)</f>
        <v>1414.75</v>
      </c>
      <c r="J19" s="28">
        <f>VLOOKUP($B19,'Unify Report'!$A$2:$V$98,11,FALSE)</f>
        <v>1024</v>
      </c>
      <c r="K19" s="29">
        <f>VLOOKUP($B19,'Unify Report'!$A$2:$V$98,12,FALSE)</f>
        <v>1023</v>
      </c>
      <c r="L19" s="28">
        <f>VLOOKUP($B19,'Unify Report'!$A$2:$V$98,7,FALSE)</f>
        <v>1300</v>
      </c>
      <c r="M19" s="29">
        <f>VLOOKUP($B19,'Unify Report'!$A$2:$V$98,8,FALSE)</f>
        <v>1269.5</v>
      </c>
      <c r="N19" s="28">
        <f>VLOOKUP($B19,'Unify Report'!$A$2:$V$98,15,FALSE)</f>
        <v>418.25</v>
      </c>
      <c r="O19" s="30">
        <f>VLOOKUP($B19,'Unify Report'!$A$2:$V$98,16,FALSE)</f>
        <v>341</v>
      </c>
    </row>
    <row r="20" spans="1:15">
      <c r="A20" s="21">
        <v>201908</v>
      </c>
      <c r="B20" s="21" t="s">
        <v>71</v>
      </c>
      <c r="C20" s="21" t="s">
        <v>26</v>
      </c>
      <c r="D20" s="21" t="s">
        <v>113</v>
      </c>
      <c r="E20" s="56" t="s">
        <v>160</v>
      </c>
      <c r="F20" s="56" t="s">
        <v>164</v>
      </c>
      <c r="G20" s="56" t="s">
        <v>171</v>
      </c>
      <c r="H20" s="28">
        <f>VLOOKUP($B20,'Unify Report'!$A$2:$V$98,3,FALSE)</f>
        <v>1363</v>
      </c>
      <c r="I20" s="29">
        <f>VLOOKUP($B20,'Unify Report'!$A$2:$V$98,4,FALSE)</f>
        <v>1400.5</v>
      </c>
      <c r="J20" s="28">
        <f>VLOOKUP($B20,'Unify Report'!$A$2:$V$98,11,FALSE)</f>
        <v>1018.25</v>
      </c>
      <c r="K20" s="29">
        <f>VLOOKUP($B20,'Unify Report'!$A$2:$V$98,12,FALSE)</f>
        <v>1023</v>
      </c>
      <c r="L20" s="28">
        <f>VLOOKUP($B20,'Unify Report'!$A$2:$V$98,7,FALSE)</f>
        <v>1114.25</v>
      </c>
      <c r="M20" s="29">
        <f>VLOOKUP($B20,'Unify Report'!$A$2:$V$98,8,FALSE)</f>
        <v>1127</v>
      </c>
      <c r="N20" s="28">
        <f>VLOOKUP($B20,'Unify Report'!$A$2:$V$98,15,FALSE)</f>
        <v>558.5</v>
      </c>
      <c r="O20" s="30">
        <f>VLOOKUP($B20,'Unify Report'!$A$2:$V$98,16,FALSE)</f>
        <v>341</v>
      </c>
    </row>
    <row r="21" spans="1:15">
      <c r="A21" s="21">
        <v>201908</v>
      </c>
      <c r="B21" s="21" t="s">
        <v>72</v>
      </c>
      <c r="C21" s="21" t="s">
        <v>31</v>
      </c>
      <c r="D21" s="21" t="s">
        <v>114</v>
      </c>
      <c r="E21" s="56" t="s">
        <v>160</v>
      </c>
      <c r="F21" s="56" t="s">
        <v>166</v>
      </c>
      <c r="G21" s="56" t="s">
        <v>172</v>
      </c>
      <c r="H21" s="28">
        <f>VLOOKUP($B21,'Unify Report'!$A$2:$V$98,3,FALSE)</f>
        <v>2717.4166666666665</v>
      </c>
      <c r="I21" s="29">
        <f>VLOOKUP($B21,'Unify Report'!$A$2:$V$98,4,FALSE)</f>
        <v>2626.8333333333235</v>
      </c>
      <c r="J21" s="28">
        <f>VLOOKUP($B21,'Unify Report'!$A$2:$V$98,11,FALSE)</f>
        <v>1947</v>
      </c>
      <c r="K21" s="29">
        <f>VLOOKUP($B21,'Unify Report'!$A$2:$V$98,12,FALSE)</f>
        <v>2046</v>
      </c>
      <c r="L21" s="28">
        <f>VLOOKUP($B21,'Unify Report'!$A$2:$V$98,7,FALSE)</f>
        <v>1365.5</v>
      </c>
      <c r="M21" s="29">
        <f>VLOOKUP($B21,'Unify Report'!$A$2:$V$98,8,FALSE)</f>
        <v>1112.3333333333333</v>
      </c>
      <c r="N21" s="28">
        <f>VLOOKUP($B21,'Unify Report'!$A$2:$V$98,15,FALSE)</f>
        <v>1045.5</v>
      </c>
      <c r="O21" s="30">
        <f>VLOOKUP($B21,'Unify Report'!$A$2:$V$98,16,FALSE)</f>
        <v>682</v>
      </c>
    </row>
    <row r="22" spans="1:15">
      <c r="A22" s="21">
        <v>201908</v>
      </c>
      <c r="B22" s="21" t="s">
        <v>73</v>
      </c>
      <c r="C22" s="21" t="s">
        <v>32</v>
      </c>
      <c r="D22" s="21" t="s">
        <v>115</v>
      </c>
      <c r="E22" s="56" t="s">
        <v>160</v>
      </c>
      <c r="F22" s="56" t="s">
        <v>166</v>
      </c>
      <c r="G22" s="56" t="s">
        <v>172</v>
      </c>
      <c r="H22" s="28">
        <f>VLOOKUP($B22,'Unify Report'!$A$2:$V$98,3,FALSE)</f>
        <v>2502.4166666666665</v>
      </c>
      <c r="I22" s="29">
        <f>VLOOKUP($B22,'Unify Report'!$A$2:$V$98,4,FALSE)</f>
        <v>2604.5</v>
      </c>
      <c r="J22" s="28">
        <f>VLOOKUP($B22,'Unify Report'!$A$2:$V$98,11,FALSE)</f>
        <v>1650</v>
      </c>
      <c r="K22" s="29">
        <f>VLOOKUP($B22,'Unify Report'!$A$2:$V$98,12,FALSE)</f>
        <v>1705</v>
      </c>
      <c r="L22" s="28">
        <f>VLOOKUP($B22,'Unify Report'!$A$2:$V$98,7,FALSE)</f>
        <v>715.75</v>
      </c>
      <c r="M22" s="29">
        <f>VLOOKUP($B22,'Unify Report'!$A$2:$V$98,8,FALSE)</f>
        <v>747.5</v>
      </c>
      <c r="N22" s="28">
        <f>VLOOKUP($B22,'Unify Report'!$A$2:$V$98,15,FALSE)</f>
        <v>660</v>
      </c>
      <c r="O22" s="30">
        <f>VLOOKUP($B22,'Unify Report'!$A$2:$V$98,16,FALSE)</f>
        <v>682</v>
      </c>
    </row>
    <row r="23" spans="1:15">
      <c r="A23" s="21">
        <v>201908</v>
      </c>
      <c r="B23" s="21" t="s">
        <v>74</v>
      </c>
      <c r="C23" s="21" t="s">
        <v>232</v>
      </c>
      <c r="D23" s="22" t="s">
        <v>116</v>
      </c>
      <c r="E23" s="57" t="s">
        <v>161</v>
      </c>
      <c r="F23" s="57" t="s">
        <v>167</v>
      </c>
      <c r="G23" s="57" t="s">
        <v>167</v>
      </c>
      <c r="H23" s="28">
        <f>VLOOKUP($B23,'Unify Report'!$A$2:$V$98,3,FALSE)</f>
        <v>1463.25</v>
      </c>
      <c r="I23" s="29">
        <f>VLOOKUP($B23,'Unify Report'!$A$2:$V$98,4,FALSE)</f>
        <v>1665.75</v>
      </c>
      <c r="J23" s="28">
        <f>VLOOKUP($B23,'Unify Report'!$A$2:$V$98,11,FALSE)</f>
        <v>682</v>
      </c>
      <c r="K23" s="29">
        <f>VLOOKUP($B23,'Unify Report'!$A$2:$V$98,12,FALSE)</f>
        <v>682</v>
      </c>
      <c r="L23" s="28">
        <f>VLOOKUP($B23,'Unify Report'!$A$2:$V$98,7,FALSE)</f>
        <v>1068</v>
      </c>
      <c r="M23" s="29">
        <f>VLOOKUP($B23,'Unify Report'!$A$2:$V$98,8,FALSE)</f>
        <v>1173</v>
      </c>
      <c r="N23" s="28">
        <f>VLOOKUP($B23,'Unify Report'!$A$2:$V$98,15,FALSE)</f>
        <v>0</v>
      </c>
      <c r="O23" s="30">
        <f>VLOOKUP($B23,'Unify Report'!$A$2:$V$98,16,FALSE)</f>
        <v>0</v>
      </c>
    </row>
    <row r="24" spans="1:15">
      <c r="A24" s="21">
        <v>201908</v>
      </c>
      <c r="B24" s="21" t="s">
        <v>75</v>
      </c>
      <c r="C24" s="21" t="s">
        <v>40</v>
      </c>
      <c r="D24" s="21" t="s">
        <v>117</v>
      </c>
      <c r="E24" s="57" t="s">
        <v>161</v>
      </c>
      <c r="F24" s="56" t="s">
        <v>164</v>
      </c>
      <c r="G24" s="56" t="s">
        <v>173</v>
      </c>
      <c r="H24" s="28">
        <f>VLOOKUP($B24,'Unify Report'!$A$2:$V$98,3,FALSE)</f>
        <v>6820</v>
      </c>
      <c r="I24" s="29">
        <f>VLOOKUP($B24,'Unify Report'!$A$2:$V$98,4,FALSE)</f>
        <v>6785.333333333333</v>
      </c>
      <c r="J24" s="28">
        <f>VLOOKUP($B24,'Unify Report'!$A$2:$V$98,11,FALSE)</f>
        <v>6869.5</v>
      </c>
      <c r="K24" s="29">
        <f>VLOOKUP($B24,'Unify Report'!$A$2:$V$98,12,FALSE)</f>
        <v>6773.5</v>
      </c>
      <c r="L24" s="28">
        <f>VLOOKUP($B24,'Unify Report'!$A$2:$V$98,7,FALSE)</f>
        <v>783.63333333333333</v>
      </c>
      <c r="M24" s="29">
        <f>VLOOKUP($B24,'Unify Report'!$A$2:$V$98,8,FALSE)</f>
        <v>717.5</v>
      </c>
      <c r="N24" s="28">
        <f>VLOOKUP($B24,'Unify Report'!$A$2:$V$98,15,FALSE)</f>
        <v>793.5</v>
      </c>
      <c r="O24" s="30">
        <f>VLOOKUP($B24,'Unify Report'!$A$2:$V$98,16,FALSE)</f>
        <v>713</v>
      </c>
    </row>
    <row r="25" spans="1:15">
      <c r="A25" s="21">
        <v>201908</v>
      </c>
      <c r="B25" s="21" t="s">
        <v>76</v>
      </c>
      <c r="C25" s="21" t="s">
        <v>44</v>
      </c>
      <c r="D25" s="21" t="s">
        <v>118</v>
      </c>
      <c r="E25" s="57" t="s">
        <v>161</v>
      </c>
      <c r="F25" s="56" t="s">
        <v>164</v>
      </c>
      <c r="G25" s="56" t="s">
        <v>174</v>
      </c>
      <c r="H25" s="28">
        <f>VLOOKUP($B25,'Unify Report'!$A$2:$V$98,3,FALSE)</f>
        <v>1068</v>
      </c>
      <c r="I25" s="29">
        <f>VLOOKUP($B25,'Unify Report'!$A$2:$V$98,4,FALSE)</f>
        <v>1064.5</v>
      </c>
      <c r="J25" s="28">
        <f>VLOOKUP($B25,'Unify Report'!$A$2:$V$98,11,FALSE)</f>
        <v>724.5</v>
      </c>
      <c r="K25" s="29">
        <f>VLOOKUP($B25,'Unify Report'!$A$2:$V$98,12,FALSE)</f>
        <v>713</v>
      </c>
      <c r="L25" s="28">
        <f>VLOOKUP($B25,'Unify Report'!$A$2:$V$98,7,FALSE)</f>
        <v>1119.5</v>
      </c>
      <c r="M25" s="29">
        <f>VLOOKUP($B25,'Unify Report'!$A$2:$V$98,8,FALSE)</f>
        <v>1212.5</v>
      </c>
      <c r="N25" s="28">
        <f>VLOOKUP($B25,'Unify Report'!$A$2:$V$98,15,FALSE)</f>
        <v>1102.25</v>
      </c>
      <c r="O25" s="30">
        <f>VLOOKUP($B25,'Unify Report'!$A$2:$V$98,16,FALSE)</f>
        <v>1068.75</v>
      </c>
    </row>
    <row r="26" spans="1:15">
      <c r="A26" s="21">
        <v>201908</v>
      </c>
      <c r="B26" s="21" t="s">
        <v>77</v>
      </c>
      <c r="C26" s="21" t="s">
        <v>42</v>
      </c>
      <c r="D26" s="21" t="s">
        <v>119</v>
      </c>
      <c r="E26" s="57" t="s">
        <v>161</v>
      </c>
      <c r="F26" s="56" t="s">
        <v>164</v>
      </c>
      <c r="G26" s="56" t="s">
        <v>174</v>
      </c>
      <c r="H26" s="28">
        <f>VLOOKUP($B26,'Unify Report'!$A$2:$V$98,3,FALSE)</f>
        <v>1429</v>
      </c>
      <c r="I26" s="29">
        <f>VLOOKUP($B26,'Unify Report'!$A$2:$V$98,4,FALSE)</f>
        <v>1432.5</v>
      </c>
      <c r="J26" s="28">
        <f>VLOOKUP($B26,'Unify Report'!$A$2:$V$98,11,FALSE)</f>
        <v>1059.1666666666667</v>
      </c>
      <c r="K26" s="29">
        <f>VLOOKUP($B26,'Unify Report'!$A$2:$V$98,12,FALSE)</f>
        <v>1069.5</v>
      </c>
      <c r="L26" s="28">
        <f>VLOOKUP($B26,'Unify Report'!$A$2:$V$98,7,FALSE)</f>
        <v>1490.5833333333333</v>
      </c>
      <c r="M26" s="29">
        <f>VLOOKUP($B26,'Unify Report'!$A$2:$V$98,8,FALSE)</f>
        <v>1274.3333333333333</v>
      </c>
      <c r="N26" s="28">
        <f>VLOOKUP($B26,'Unify Report'!$A$2:$V$98,15,FALSE)</f>
        <v>1038.5</v>
      </c>
      <c r="O26" s="30">
        <f>VLOOKUP($B26,'Unify Report'!$A$2:$V$98,16,FALSE)</f>
        <v>713</v>
      </c>
    </row>
    <row r="27" spans="1:15">
      <c r="A27" s="21">
        <v>201908</v>
      </c>
      <c r="B27" s="21" t="s">
        <v>78</v>
      </c>
      <c r="C27" s="21" t="s">
        <v>43</v>
      </c>
      <c r="D27" s="21" t="s">
        <v>120</v>
      </c>
      <c r="E27" s="57" t="s">
        <v>161</v>
      </c>
      <c r="F27" s="56" t="s">
        <v>164</v>
      </c>
      <c r="G27" s="56" t="s">
        <v>175</v>
      </c>
      <c r="H27" s="28">
        <f>VLOOKUP($B27,'Unify Report'!$A$2:$V$98,3,FALSE)</f>
        <v>1967.65</v>
      </c>
      <c r="I27" s="29">
        <f>VLOOKUP($B27,'Unify Report'!$A$2:$V$98,4,FALSE)</f>
        <v>2045.15</v>
      </c>
      <c r="J27" s="28">
        <f>VLOOKUP($B27,'Unify Report'!$A$2:$V$98,11,FALSE)</f>
        <v>1632.5</v>
      </c>
      <c r="K27" s="29">
        <f>VLOOKUP($B27,'Unify Report'!$A$2:$V$98,12,FALSE)</f>
        <v>1656</v>
      </c>
      <c r="L27" s="28">
        <f>VLOOKUP($B27,'Unify Report'!$A$2:$V$98,7,FALSE)</f>
        <v>1031.5833333333333</v>
      </c>
      <c r="M27" s="29">
        <f>VLOOKUP($B27,'Unify Report'!$A$2:$V$98,8,FALSE)</f>
        <v>1081.5</v>
      </c>
      <c r="N27" s="28">
        <f>VLOOKUP($B27,'Unify Report'!$A$2:$V$98,15,FALSE)</f>
        <v>713</v>
      </c>
      <c r="O27" s="30">
        <f>VLOOKUP($B27,'Unify Report'!$A$2:$V$98,16,FALSE)</f>
        <v>713</v>
      </c>
    </row>
    <row r="28" spans="1:15">
      <c r="A28" s="21">
        <v>201908</v>
      </c>
      <c r="B28" s="21" t="s">
        <v>79</v>
      </c>
      <c r="C28" s="21" t="s">
        <v>39</v>
      </c>
      <c r="D28" s="21" t="s">
        <v>121</v>
      </c>
      <c r="E28" s="57" t="s">
        <v>161</v>
      </c>
      <c r="F28" s="56" t="s">
        <v>164</v>
      </c>
      <c r="G28" s="56" t="s">
        <v>176</v>
      </c>
      <c r="H28" s="28">
        <f>VLOOKUP($B28,'Unify Report'!$A$2:$V$98,3,FALSE)</f>
        <v>2041.75</v>
      </c>
      <c r="I28" s="29">
        <f>VLOOKUP($B28,'Unify Report'!$A$2:$V$98,4,FALSE)</f>
        <v>2265.5</v>
      </c>
      <c r="J28" s="28">
        <f>VLOOKUP($B28,'Unify Report'!$A$2:$V$98,11,FALSE)</f>
        <v>1782.5</v>
      </c>
      <c r="K28" s="29">
        <f>VLOOKUP($B28,'Unify Report'!$A$2:$V$98,12,FALSE)</f>
        <v>1782.5</v>
      </c>
      <c r="L28" s="28">
        <f>VLOOKUP($B28,'Unify Report'!$A$2:$V$98,7,FALSE)</f>
        <v>1429.1166666666666</v>
      </c>
      <c r="M28" s="29">
        <f>VLOOKUP($B28,'Unify Report'!$A$2:$V$98,8,FALSE)</f>
        <v>1269.5</v>
      </c>
      <c r="N28" s="28">
        <f>VLOOKUP($B28,'Unify Report'!$A$2:$V$98,15,FALSE)</f>
        <v>1495.5</v>
      </c>
      <c r="O28" s="30">
        <f>VLOOKUP($B28,'Unify Report'!$A$2:$V$98,16,FALSE)</f>
        <v>1426</v>
      </c>
    </row>
    <row r="29" spans="1:15">
      <c r="A29" s="21">
        <v>201908</v>
      </c>
      <c r="B29" s="21" t="s">
        <v>80</v>
      </c>
      <c r="C29" s="21" t="s">
        <v>41</v>
      </c>
      <c r="D29" s="21" t="s">
        <v>122</v>
      </c>
      <c r="E29" s="57" t="s">
        <v>161</v>
      </c>
      <c r="F29" s="56" t="s">
        <v>164</v>
      </c>
      <c r="G29" s="56" t="s">
        <v>175</v>
      </c>
      <c r="H29" s="28">
        <f>VLOOKUP($B29,'Unify Report'!$A$2:$V$98,3,FALSE)</f>
        <v>2126</v>
      </c>
      <c r="I29" s="29">
        <f>VLOOKUP($B29,'Unify Report'!$A$2:$V$98,4,FALSE)</f>
        <v>2141.5</v>
      </c>
      <c r="J29" s="28">
        <f>VLOOKUP($B29,'Unify Report'!$A$2:$V$98,11,FALSE)</f>
        <v>1777.0833333333333</v>
      </c>
      <c r="K29" s="29">
        <f>VLOOKUP($B29,'Unify Report'!$A$2:$V$98,12,FALSE)</f>
        <v>1782.5</v>
      </c>
      <c r="L29" s="28">
        <f>VLOOKUP($B29,'Unify Report'!$A$2:$V$98,7,FALSE)</f>
        <v>1641.75</v>
      </c>
      <c r="M29" s="29">
        <f>VLOOKUP($B29,'Unify Report'!$A$2:$V$98,8,FALSE)</f>
        <v>1427</v>
      </c>
      <c r="N29" s="28">
        <f>VLOOKUP($B29,'Unify Report'!$A$2:$V$98,15,FALSE)</f>
        <v>1724.5</v>
      </c>
      <c r="O29" s="30">
        <f>VLOOKUP($B29,'Unify Report'!$A$2:$V$98,16,FALSE)</f>
        <v>1426</v>
      </c>
    </row>
    <row r="30" spans="1:15">
      <c r="A30" s="21">
        <v>201908</v>
      </c>
      <c r="B30" s="21" t="s">
        <v>81</v>
      </c>
      <c r="C30" s="98" t="s">
        <v>235</v>
      </c>
      <c r="D30" s="21" t="s">
        <v>123</v>
      </c>
      <c r="E30" s="56" t="s">
        <v>162</v>
      </c>
      <c r="F30" s="56" t="s">
        <v>168</v>
      </c>
      <c r="G30" s="56" t="s">
        <v>177</v>
      </c>
      <c r="H30" s="28">
        <f>VLOOKUP($B30,'Unify Report'!$A$2:$V$98,3,FALSE)</f>
        <v>5491.75</v>
      </c>
      <c r="I30" s="29">
        <f>VLOOKUP($B30,'Unify Report'!$A$2:$V$98,4,FALSE)</f>
        <v>6098.75</v>
      </c>
      <c r="J30" s="28">
        <f>VLOOKUP($B30,'Unify Report'!$A$2:$V$98,11,FALSE)</f>
        <v>5060.75</v>
      </c>
      <c r="K30" s="29">
        <f>VLOOKUP($B30,'Unify Report'!$A$2:$V$98,12,FALSE)</f>
        <v>6060.5</v>
      </c>
      <c r="L30" s="28">
        <f>VLOOKUP($B30,'Unify Report'!$A$2:$V$98,7,FALSE)</f>
        <v>374</v>
      </c>
      <c r="M30" s="29">
        <f>VLOOKUP($B30,'Unify Report'!$A$2:$V$98,8,FALSE)</f>
        <v>727</v>
      </c>
      <c r="N30" s="28">
        <f>VLOOKUP($B30,'Unify Report'!$A$2:$V$98,15,FALSE)</f>
        <v>241.5</v>
      </c>
      <c r="O30" s="30">
        <f>VLOOKUP($B30,'Unify Report'!$A$2:$V$98,16,FALSE)</f>
        <v>713</v>
      </c>
    </row>
    <row r="31" spans="1:15">
      <c r="A31" s="21">
        <v>201908</v>
      </c>
      <c r="B31" s="21" t="s">
        <v>82</v>
      </c>
      <c r="C31" s="98" t="s">
        <v>236</v>
      </c>
      <c r="D31" s="70" t="s">
        <v>246</v>
      </c>
      <c r="E31" s="56" t="s">
        <v>162</v>
      </c>
      <c r="F31" s="56" t="s">
        <v>168</v>
      </c>
      <c r="G31" s="56" t="s">
        <v>177</v>
      </c>
      <c r="H31" s="28">
        <f>VLOOKUP($B31,'Unify Report'!$A$2:$V$98,3,FALSE)</f>
        <v>3539.1666666666665</v>
      </c>
      <c r="I31" s="29">
        <f>VLOOKUP($B31,'Unify Report'!$A$2:$V$98,4,FALSE)</f>
        <v>3567.3333333333335</v>
      </c>
      <c r="J31" s="28">
        <f>VLOOKUP($B31,'Unify Report'!$A$2:$V$98,11,FALSE)</f>
        <v>3502</v>
      </c>
      <c r="K31" s="29">
        <f>VLOOKUP($B31,'Unify Report'!$A$2:$V$98,12,FALSE)</f>
        <v>3797.5</v>
      </c>
      <c r="L31" s="28">
        <f>VLOOKUP($B31,'Unify Report'!$A$2:$V$98,7,FALSE)</f>
        <v>391.5</v>
      </c>
      <c r="M31" s="29">
        <f>VLOOKUP($B31,'Unify Report'!$A$2:$V$98,8,FALSE)</f>
        <v>358.5</v>
      </c>
      <c r="N31" s="28">
        <f>VLOOKUP($B31,'Unify Report'!$A$2:$V$98,15,FALSE)</f>
        <v>391</v>
      </c>
      <c r="O31" s="30">
        <f>VLOOKUP($B31,'Unify Report'!$A$2:$V$98,16,FALSE)</f>
        <v>356.5</v>
      </c>
    </row>
    <row r="32" spans="1:15">
      <c r="A32" s="21">
        <v>201908</v>
      </c>
      <c r="B32" s="21" t="s">
        <v>83</v>
      </c>
      <c r="C32" s="98" t="s">
        <v>237</v>
      </c>
      <c r="D32" s="70" t="s">
        <v>253</v>
      </c>
      <c r="E32" s="56" t="s">
        <v>162</v>
      </c>
      <c r="F32" s="56" t="s">
        <v>168</v>
      </c>
      <c r="G32" s="56" t="s">
        <v>177</v>
      </c>
      <c r="H32" s="28">
        <f>VLOOKUP($B32,'Unify Report'!$A$2:$V$98,3,FALSE)</f>
        <v>2256.5</v>
      </c>
      <c r="I32" s="29">
        <f>VLOOKUP($B32,'Unify Report'!$A$2:$V$98,4,FALSE)</f>
        <v>2358.5</v>
      </c>
      <c r="J32" s="28">
        <f>VLOOKUP($B32,'Unify Report'!$A$2:$V$98,11,FALSE)</f>
        <v>1703</v>
      </c>
      <c r="K32" s="29">
        <f>VLOOKUP($B32,'Unify Report'!$A$2:$V$98,12,FALSE)</f>
        <v>1690.5</v>
      </c>
      <c r="L32" s="28">
        <f>VLOOKUP($B32,'Unify Report'!$A$2:$V$98,7,FALSE)</f>
        <v>316</v>
      </c>
      <c r="M32" s="29">
        <f>VLOOKUP($B32,'Unify Report'!$A$2:$V$98,8,FALSE)</f>
        <v>357.5</v>
      </c>
      <c r="N32" s="28">
        <f>VLOOKUP($B32,'Unify Report'!$A$2:$V$98,15,FALSE)</f>
        <v>345</v>
      </c>
      <c r="O32" s="30">
        <f>VLOOKUP($B32,'Unify Report'!$A$2:$V$98,16,FALSE)</f>
        <v>356.5</v>
      </c>
    </row>
    <row r="33" spans="1:15">
      <c r="A33" s="21">
        <v>201908</v>
      </c>
      <c r="B33" s="21" t="s">
        <v>84</v>
      </c>
      <c r="C33" s="98" t="s">
        <v>238</v>
      </c>
      <c r="D33" s="70" t="s">
        <v>252</v>
      </c>
      <c r="E33" s="56" t="s">
        <v>162</v>
      </c>
      <c r="F33" s="56" t="s">
        <v>168</v>
      </c>
      <c r="G33" s="56" t="s">
        <v>177</v>
      </c>
      <c r="H33" s="28">
        <f>VLOOKUP($B33,'Unify Report'!$A$2:$V$98,3,FALSE)</f>
        <v>2049</v>
      </c>
      <c r="I33" s="29">
        <f>VLOOKUP($B33,'Unify Report'!$A$2:$V$98,4,FALSE)</f>
        <v>2145</v>
      </c>
      <c r="J33" s="28">
        <f>VLOOKUP($B33,'Unify Report'!$A$2:$V$98,11,FALSE)</f>
        <v>1649</v>
      </c>
      <c r="K33" s="29">
        <f>VLOOKUP($B33,'Unify Report'!$A$2:$V$98,12,FALSE)</f>
        <v>1782.5</v>
      </c>
      <c r="L33" s="28">
        <f>VLOOKUP($B33,'Unify Report'!$A$2:$V$98,7,FALSE)</f>
        <v>333.5</v>
      </c>
      <c r="M33" s="29">
        <f>VLOOKUP($B33,'Unify Report'!$A$2:$V$98,8,FALSE)</f>
        <v>352.5</v>
      </c>
      <c r="N33" s="28">
        <f>VLOOKUP($B33,'Unify Report'!$A$2:$V$98,15,FALSE)</f>
        <v>276</v>
      </c>
      <c r="O33" s="30">
        <f>VLOOKUP($B33,'Unify Report'!$A$2:$V$98,16,FALSE)</f>
        <v>356.5</v>
      </c>
    </row>
    <row r="34" spans="1:15">
      <c r="A34" s="21">
        <v>201908</v>
      </c>
      <c r="B34" s="21" t="s">
        <v>85</v>
      </c>
      <c r="C34" s="98" t="s">
        <v>239</v>
      </c>
      <c r="D34" s="70" t="s">
        <v>251</v>
      </c>
      <c r="E34" s="56" t="s">
        <v>162</v>
      </c>
      <c r="F34" s="56" t="s">
        <v>168</v>
      </c>
      <c r="G34" s="56" t="s">
        <v>177</v>
      </c>
      <c r="H34" s="28">
        <f>VLOOKUP($B34,'Unify Report'!$A$2:$V$98,3,FALSE)</f>
        <v>1736.5</v>
      </c>
      <c r="I34" s="29">
        <f>VLOOKUP($B34,'Unify Report'!$A$2:$V$98,4,FALSE)</f>
        <v>1782.5</v>
      </c>
      <c r="J34" s="28">
        <f>VLOOKUP($B34,'Unify Report'!$A$2:$V$98,11,FALSE)</f>
        <v>1656</v>
      </c>
      <c r="K34" s="29">
        <f>VLOOKUP($B34,'Unify Report'!$A$2:$V$98,12,FALSE)</f>
        <v>1771</v>
      </c>
      <c r="L34" s="28">
        <f>VLOOKUP($B34,'Unify Report'!$A$2:$V$98,7,FALSE)</f>
        <v>345</v>
      </c>
      <c r="M34" s="29">
        <f>VLOOKUP($B34,'Unify Report'!$A$2:$V$98,8,FALSE)</f>
        <v>356.5</v>
      </c>
      <c r="N34" s="28">
        <f>VLOOKUP($B34,'Unify Report'!$A$2:$V$98,15,FALSE)</f>
        <v>299</v>
      </c>
      <c r="O34" s="30">
        <f>VLOOKUP($B34,'Unify Report'!$A$2:$V$98,16,FALSE)</f>
        <v>356.5</v>
      </c>
    </row>
    <row r="35" spans="1:15">
      <c r="A35" s="21">
        <v>201908</v>
      </c>
      <c r="B35" s="21" t="s">
        <v>86</v>
      </c>
      <c r="C35" s="98" t="s">
        <v>240</v>
      </c>
      <c r="D35" s="70" t="s">
        <v>254</v>
      </c>
      <c r="E35" s="56" t="s">
        <v>162</v>
      </c>
      <c r="F35" s="56" t="s">
        <v>168</v>
      </c>
      <c r="G35" s="56" t="s">
        <v>177</v>
      </c>
      <c r="H35" s="28">
        <f>VLOOKUP($B35,'Unify Report'!$A$2:$V$98,3,FALSE)</f>
        <v>2348.75</v>
      </c>
      <c r="I35" s="29">
        <f>VLOOKUP($B35,'Unify Report'!$A$2:$V$98,4,FALSE)</f>
        <v>2502</v>
      </c>
      <c r="J35" s="28">
        <f>VLOOKUP($B35,'Unify Report'!$A$2:$V$98,11,FALSE)</f>
        <v>1970</v>
      </c>
      <c r="K35" s="29">
        <f>VLOOKUP($B35,'Unify Report'!$A$2:$V$98,12,FALSE)</f>
        <v>2104.5</v>
      </c>
      <c r="L35" s="28">
        <f>VLOOKUP($B35,'Unify Report'!$A$2:$V$98,7,FALSE)</f>
        <v>336.5</v>
      </c>
      <c r="M35" s="29">
        <f>VLOOKUP($B35,'Unify Report'!$A$2:$V$98,8,FALSE)</f>
        <v>352.5</v>
      </c>
      <c r="N35" s="28">
        <f>VLOOKUP($B35,'Unify Report'!$A$2:$V$98,15,FALSE)</f>
        <v>288.5</v>
      </c>
      <c r="O35" s="30">
        <f>VLOOKUP($B35,'Unify Report'!$A$2:$V$98,16,FALSE)</f>
        <v>356.5</v>
      </c>
    </row>
    <row r="36" spans="1:15">
      <c r="A36" s="21">
        <v>201908</v>
      </c>
      <c r="B36" s="21" t="s">
        <v>87</v>
      </c>
      <c r="C36" s="98" t="s">
        <v>241</v>
      </c>
      <c r="D36" s="70" t="s">
        <v>247</v>
      </c>
      <c r="E36" s="56" t="s">
        <v>162</v>
      </c>
      <c r="F36" s="56" t="s">
        <v>168</v>
      </c>
      <c r="G36" s="56" t="s">
        <v>177</v>
      </c>
      <c r="H36" s="28">
        <f>VLOOKUP($B36,'Unify Report'!$A$2:$V$98,3,FALSE)</f>
        <v>1506.6666666666667</v>
      </c>
      <c r="I36" s="29">
        <f>VLOOKUP($B36,'Unify Report'!$A$2:$V$98,4,FALSE)</f>
        <v>1426.5</v>
      </c>
      <c r="J36" s="28">
        <f>VLOOKUP($B36,'Unify Report'!$A$2:$V$98,11,FALSE)</f>
        <v>1437.5</v>
      </c>
      <c r="K36" s="29">
        <f>VLOOKUP($B36,'Unify Report'!$A$2:$V$98,12,FALSE)</f>
        <v>1426</v>
      </c>
      <c r="L36" s="28">
        <f>VLOOKUP($B36,'Unify Report'!$A$2:$V$98,7,FALSE)</f>
        <v>548</v>
      </c>
      <c r="M36" s="29">
        <f>VLOOKUP($B36,'Unify Report'!$A$2:$V$98,8,FALSE)</f>
        <v>352.5</v>
      </c>
      <c r="N36" s="28">
        <f>VLOOKUP($B36,'Unify Report'!$A$2:$V$98,15,FALSE)</f>
        <v>447.5</v>
      </c>
      <c r="O36" s="30">
        <f>VLOOKUP($B36,'Unify Report'!$A$2:$V$98,16,FALSE)</f>
        <v>356.5</v>
      </c>
    </row>
    <row r="37" spans="1:15">
      <c r="A37" s="21">
        <v>201908</v>
      </c>
      <c r="B37" s="21" t="s">
        <v>88</v>
      </c>
      <c r="C37" s="98" t="s">
        <v>242</v>
      </c>
      <c r="D37" s="70" t="s">
        <v>255</v>
      </c>
      <c r="E37" s="56" t="s">
        <v>162</v>
      </c>
      <c r="F37" s="56" t="s">
        <v>168</v>
      </c>
      <c r="G37" s="56" t="s">
        <v>177</v>
      </c>
      <c r="H37" s="28">
        <f>VLOOKUP($B37,'Unify Report'!$A$2:$V$98,3,FALSE)</f>
        <v>1034.5</v>
      </c>
      <c r="I37" s="29">
        <f>VLOOKUP($B37,'Unify Report'!$A$2:$V$98,4,FALSE)</f>
        <v>1059</v>
      </c>
      <c r="J37" s="28">
        <f>VLOOKUP($B37,'Unify Report'!$A$2:$V$98,11,FALSE)</f>
        <v>1012.5</v>
      </c>
      <c r="K37" s="29">
        <f>VLOOKUP($B37,'Unify Report'!$A$2:$V$98,12,FALSE)</f>
        <v>1070</v>
      </c>
      <c r="L37" s="28">
        <f>VLOOKUP($B37,'Unify Report'!$A$2:$V$98,7,FALSE)</f>
        <v>23</v>
      </c>
      <c r="M37" s="29">
        <f>VLOOKUP($B37,'Unify Report'!$A$2:$V$98,8,FALSE)</f>
        <v>0</v>
      </c>
      <c r="N37" s="28">
        <f>VLOOKUP($B37,'Unify Report'!$A$2:$V$98,15,FALSE)</f>
        <v>80.5</v>
      </c>
      <c r="O37" s="30">
        <f>VLOOKUP($B37,'Unify Report'!$A$2:$V$98,16,FALSE)</f>
        <v>0</v>
      </c>
    </row>
    <row r="38" spans="1:15">
      <c r="A38" s="21">
        <v>201908</v>
      </c>
      <c r="B38" s="21" t="s">
        <v>89</v>
      </c>
      <c r="C38" s="98" t="s">
        <v>243</v>
      </c>
      <c r="D38" s="70" t="s">
        <v>249</v>
      </c>
      <c r="E38" s="56" t="s">
        <v>162</v>
      </c>
      <c r="F38" s="56" t="s">
        <v>168</v>
      </c>
      <c r="G38" s="56" t="s">
        <v>177</v>
      </c>
      <c r="H38" s="28">
        <f>VLOOKUP($B38,'Unify Report'!$A$2:$V$98,3,FALSE)</f>
        <v>2043.5</v>
      </c>
      <c r="I38" s="29">
        <f>VLOOKUP($B38,'Unify Report'!$A$2:$V$98,4,FALSE)</f>
        <v>2139</v>
      </c>
      <c r="J38" s="28">
        <f>VLOOKUP($B38,'Unify Report'!$A$2:$V$98,11,FALSE)</f>
        <v>2047</v>
      </c>
      <c r="K38" s="29">
        <f>VLOOKUP($B38,'Unify Report'!$A$2:$V$98,12,FALSE)</f>
        <v>2139</v>
      </c>
      <c r="L38" s="28">
        <f>VLOOKUP($B38,'Unify Report'!$A$2:$V$98,7,FALSE)</f>
        <v>733.25</v>
      </c>
      <c r="M38" s="29">
        <f>VLOOKUP($B38,'Unify Report'!$A$2:$V$98,8,FALSE)</f>
        <v>713</v>
      </c>
      <c r="N38" s="28">
        <f>VLOOKUP($B38,'Unify Report'!$A$2:$V$98,15,FALSE)</f>
        <v>713</v>
      </c>
      <c r="O38" s="30">
        <f>VLOOKUP($B38,'Unify Report'!$A$2:$V$98,16,FALSE)</f>
        <v>713</v>
      </c>
    </row>
    <row r="39" spans="1:15">
      <c r="A39" s="21">
        <v>201908</v>
      </c>
      <c r="B39" s="21" t="s">
        <v>90</v>
      </c>
      <c r="C39" s="98" t="s">
        <v>36</v>
      </c>
      <c r="D39" s="21" t="s">
        <v>124</v>
      </c>
      <c r="E39" s="56" t="s">
        <v>162</v>
      </c>
      <c r="F39" s="56" t="s">
        <v>169</v>
      </c>
      <c r="G39" s="56" t="s">
        <v>178</v>
      </c>
      <c r="H39" s="28">
        <f>VLOOKUP($B39,'Unify Report'!$A$2:$V$98,3,FALSE)</f>
        <v>610.5</v>
      </c>
      <c r="I39" s="29">
        <f>VLOOKUP($B39,'Unify Report'!$A$2:$V$98,4,FALSE)</f>
        <v>778.5</v>
      </c>
      <c r="J39" s="28">
        <f>VLOOKUP($B39,'Unify Report'!$A$2:$V$98,11,FALSE)</f>
        <v>576</v>
      </c>
      <c r="K39" s="29">
        <f>VLOOKUP($B39,'Unify Report'!$A$2:$V$98,12,FALSE)</f>
        <v>768</v>
      </c>
      <c r="L39" s="28">
        <f>VLOOKUP($B39,'Unify Report'!$A$2:$V$98,7,FALSE)</f>
        <v>0</v>
      </c>
      <c r="M39" s="29">
        <f>VLOOKUP($B39,'Unify Report'!$A$2:$V$98,8,FALSE)</f>
        <v>0</v>
      </c>
      <c r="N39" s="28">
        <f>VLOOKUP($B39,'Unify Report'!$A$2:$V$98,15,FALSE)</f>
        <v>0</v>
      </c>
      <c r="O39" s="30">
        <f>VLOOKUP($B39,'Unify Report'!$A$2:$V$98,16,FALSE)</f>
        <v>0</v>
      </c>
    </row>
    <row r="40" spans="1:15">
      <c r="A40" s="21">
        <v>201908</v>
      </c>
      <c r="B40" s="21" t="s">
        <v>91</v>
      </c>
      <c r="C40" s="21" t="s">
        <v>35</v>
      </c>
      <c r="D40" s="22" t="s">
        <v>125</v>
      </c>
      <c r="E40" s="56" t="s">
        <v>162</v>
      </c>
      <c r="F40" s="56" t="s">
        <v>169</v>
      </c>
      <c r="G40" s="56" t="s">
        <v>178</v>
      </c>
      <c r="H40" s="28">
        <f>VLOOKUP($B40,'Unify Report'!$A$2:$V$98,3,FALSE)</f>
        <v>2197</v>
      </c>
      <c r="I40" s="29">
        <f>VLOOKUP($B40,'Unify Report'!$A$2:$V$98,4,FALSE)</f>
        <v>2734</v>
      </c>
      <c r="J40" s="28">
        <f>VLOOKUP($B40,'Unify Report'!$A$2:$V$98,11,FALSE)</f>
        <v>2267.5</v>
      </c>
      <c r="K40" s="29">
        <f>VLOOKUP($B40,'Unify Report'!$A$2:$V$98,12,FALSE)</f>
        <v>2604</v>
      </c>
      <c r="L40" s="28">
        <f>VLOOKUP($B40,'Unify Report'!$A$2:$V$98,7,FALSE)</f>
        <v>905.5</v>
      </c>
      <c r="M40" s="29">
        <f>VLOOKUP($B40,'Unify Report'!$A$2:$V$98,8,FALSE)</f>
        <v>1202.5</v>
      </c>
      <c r="N40" s="28">
        <f>VLOOKUP($B40,'Unify Report'!$A$2:$V$98,15,FALSE)</f>
        <v>726</v>
      </c>
      <c r="O40" s="30">
        <f>VLOOKUP($B40,'Unify Report'!$A$2:$V$98,16,FALSE)</f>
        <v>744</v>
      </c>
    </row>
    <row r="41" spans="1:15">
      <c r="A41" s="21">
        <v>201908</v>
      </c>
      <c r="B41" s="21" t="s">
        <v>92</v>
      </c>
      <c r="C41" s="21" t="s">
        <v>38</v>
      </c>
      <c r="D41" s="22" t="s">
        <v>126</v>
      </c>
      <c r="E41" s="56" t="s">
        <v>162</v>
      </c>
      <c r="F41" s="56" t="s">
        <v>169</v>
      </c>
      <c r="G41" s="56" t="s">
        <v>178</v>
      </c>
      <c r="H41" s="28">
        <f>VLOOKUP($B41,'Unify Report'!$A$2:$V$98,3,FALSE)</f>
        <v>5525.25</v>
      </c>
      <c r="I41" s="29">
        <f>VLOOKUP($B41,'Unify Report'!$A$2:$V$98,4,FALSE)</f>
        <v>7061</v>
      </c>
      <c r="J41" s="28">
        <f>VLOOKUP($B41,'Unify Report'!$A$2:$V$98,11,FALSE)</f>
        <v>5604.5</v>
      </c>
      <c r="K41" s="29">
        <f>VLOOKUP($B41,'Unify Report'!$A$2:$V$98,12,FALSE)</f>
        <v>6980.5</v>
      </c>
      <c r="L41" s="28">
        <f>VLOOKUP($B41,'Unify Report'!$A$2:$V$98,7,FALSE)</f>
        <v>438</v>
      </c>
      <c r="M41" s="29">
        <f>VLOOKUP($B41,'Unify Report'!$A$2:$V$98,8,FALSE)</f>
        <v>370.5</v>
      </c>
      <c r="N41" s="28">
        <f>VLOOKUP($B41,'Unify Report'!$A$2:$V$98,15,FALSE)</f>
        <v>287.5</v>
      </c>
      <c r="O41" s="30">
        <f>VLOOKUP($B41,'Unify Report'!$A$2:$V$98,16,FALSE)</f>
        <v>356.5</v>
      </c>
    </row>
    <row r="42" spans="1:15">
      <c r="A42" s="21">
        <v>201908</v>
      </c>
      <c r="B42" s="21" t="s">
        <v>93</v>
      </c>
      <c r="C42" s="21" t="s">
        <v>33</v>
      </c>
      <c r="D42" s="22" t="s">
        <v>127</v>
      </c>
      <c r="E42" s="56" t="s">
        <v>162</v>
      </c>
      <c r="F42" s="56" t="s">
        <v>169</v>
      </c>
      <c r="G42" s="56" t="s">
        <v>178</v>
      </c>
      <c r="H42" s="28">
        <f>VLOOKUP($B42,'Unify Report'!$A$2:$V$98,3,FALSE)</f>
        <v>1098</v>
      </c>
      <c r="I42" s="29">
        <f>VLOOKUP($B42,'Unify Report'!$A$2:$V$98,4,FALSE)</f>
        <v>1094.5</v>
      </c>
      <c r="J42" s="28">
        <f>VLOOKUP($B42,'Unify Report'!$A$2:$V$98,11,FALSE)</f>
        <v>728.5</v>
      </c>
      <c r="K42" s="29">
        <f>VLOOKUP($B42,'Unify Report'!$A$2:$V$98,12,FALSE)</f>
        <v>728.5</v>
      </c>
      <c r="L42" s="28">
        <f>VLOOKUP($B42,'Unify Report'!$A$2:$V$98,7,FALSE)</f>
        <v>447.5</v>
      </c>
      <c r="M42" s="29">
        <f>VLOOKUP($B42,'Unify Report'!$A$2:$V$98,8,FALSE)</f>
        <v>700.5</v>
      </c>
      <c r="N42" s="28">
        <f>VLOOKUP($B42,'Unify Report'!$A$2:$V$98,15,FALSE)</f>
        <v>372</v>
      </c>
      <c r="O42" s="30">
        <f>VLOOKUP($B42,'Unify Report'!$A$2:$V$98,16,FALSE)</f>
        <v>636</v>
      </c>
    </row>
    <row r="43" spans="1:15">
      <c r="A43" s="21">
        <v>201908</v>
      </c>
      <c r="B43" s="21" t="s">
        <v>94</v>
      </c>
      <c r="C43" s="21" t="s">
        <v>34</v>
      </c>
      <c r="D43" s="22" t="s">
        <v>128</v>
      </c>
      <c r="E43" s="56" t="s">
        <v>162</v>
      </c>
      <c r="F43" s="56" t="s">
        <v>169</v>
      </c>
      <c r="G43" s="56" t="s">
        <v>178</v>
      </c>
      <c r="H43" s="28">
        <f>VLOOKUP($B43,'Unify Report'!$A$2:$V$98,3,FALSE)</f>
        <v>3418.05</v>
      </c>
      <c r="I43" s="29">
        <f>VLOOKUP($B43,'Unify Report'!$A$2:$V$98,4,FALSE)</f>
        <v>3755.25</v>
      </c>
      <c r="J43" s="28">
        <f>VLOOKUP($B43,'Unify Report'!$A$2:$V$98,11,FALSE)</f>
        <v>3158.5</v>
      </c>
      <c r="K43" s="29">
        <f>VLOOKUP($B43,'Unify Report'!$A$2:$V$98,12,FALSE)</f>
        <v>3360</v>
      </c>
      <c r="L43" s="28">
        <f>VLOOKUP($B43,'Unify Report'!$A$2:$V$98,7,FALSE)</f>
        <v>658.5</v>
      </c>
      <c r="M43" s="29">
        <f>VLOOKUP($B43,'Unify Report'!$A$2:$V$98,8,FALSE)</f>
        <v>775</v>
      </c>
      <c r="N43" s="28">
        <f>VLOOKUP($B43,'Unify Report'!$A$2:$V$98,15,FALSE)</f>
        <v>661</v>
      </c>
      <c r="O43" s="30">
        <f>VLOOKUP($B43,'Unify Report'!$A$2:$V$98,16,FALSE)</f>
        <v>744</v>
      </c>
    </row>
    <row r="44" spans="1:15">
      <c r="A44" s="21">
        <v>201908</v>
      </c>
      <c r="B44" s="21" t="s">
        <v>95</v>
      </c>
      <c r="C44" s="21" t="s">
        <v>37</v>
      </c>
      <c r="D44" s="22" t="s">
        <v>129</v>
      </c>
      <c r="E44" s="56" t="s">
        <v>162</v>
      </c>
      <c r="F44" s="56" t="s">
        <v>169</v>
      </c>
      <c r="G44" s="56" t="s">
        <v>178</v>
      </c>
      <c r="H44" s="28">
        <f>VLOOKUP($B44,'Unify Report'!$A$2:$V$98,3,FALSE)</f>
        <v>1127.6666666666667</v>
      </c>
      <c r="I44" s="29">
        <f>VLOOKUP($B44,'Unify Report'!$A$2:$V$98,4,FALSE)</f>
        <v>1295.5</v>
      </c>
      <c r="J44" s="28">
        <f>VLOOKUP($B44,'Unify Report'!$A$2:$V$98,11,FALSE)</f>
        <v>792</v>
      </c>
      <c r="K44" s="29">
        <f>VLOOKUP($B44,'Unify Report'!$A$2:$V$98,12,FALSE)</f>
        <v>825</v>
      </c>
      <c r="L44" s="28">
        <f>VLOOKUP($B44,'Unify Report'!$A$2:$V$98,7,FALSE)</f>
        <v>908.5</v>
      </c>
      <c r="M44" s="29">
        <f>VLOOKUP($B44,'Unify Report'!$A$2:$V$98,8,FALSE)</f>
        <v>1012.25</v>
      </c>
      <c r="N44" s="28">
        <f>VLOOKUP($B44,'Unify Report'!$A$2:$V$98,15,FALSE)</f>
        <v>627</v>
      </c>
      <c r="O44" s="30">
        <f>VLOOKUP($B44,'Unify Report'!$A$2:$V$98,16,FALSE)</f>
        <v>583</v>
      </c>
    </row>
    <row r="50" spans="8:15">
      <c r="H50" s="88">
        <f>SUM(H3:H44)</f>
        <v>89362.366666666683</v>
      </c>
      <c r="I50" s="88">
        <f t="shared" ref="I50:O50" si="0">SUM(I3:I44)</f>
        <v>94693.483333333323</v>
      </c>
      <c r="J50" s="88">
        <f t="shared" si="0"/>
        <v>76363.583333333343</v>
      </c>
      <c r="K50" s="88">
        <f t="shared" si="0"/>
        <v>80466</v>
      </c>
      <c r="L50" s="88">
        <f t="shared" si="0"/>
        <v>40273</v>
      </c>
      <c r="M50" s="88">
        <f t="shared" si="0"/>
        <v>38826.666666666664</v>
      </c>
      <c r="N50" s="88">
        <f t="shared" si="0"/>
        <v>32141.5</v>
      </c>
      <c r="O50" s="88">
        <f t="shared" si="0"/>
        <v>27705.75</v>
      </c>
    </row>
  </sheetData>
  <autoFilter ref="A2:O2"/>
  <mergeCells count="4">
    <mergeCell ref="H1:I1"/>
    <mergeCell ref="J1:K1"/>
    <mergeCell ref="L1:M1"/>
    <mergeCell ref="N1:O1"/>
  </mergeCells>
  <printOptions horizontalCentered="1"/>
  <pageMargins left="0.70866141732283472" right="0.70866141732283472" top="0.43307086614173229" bottom="0.47244094488188981" header="0.31496062992125984" footer="0.31496062992125984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2"/>
  <sheetViews>
    <sheetView showGridLines="0" tabSelected="1" workbookViewId="0">
      <pane ySplit="5" topLeftCell="A6" activePane="bottomLeft" state="frozenSplit"/>
      <selection pane="bottomLeft" activeCell="M59" sqref="M59"/>
    </sheetView>
  </sheetViews>
  <sheetFormatPr defaultRowHeight="15"/>
  <cols>
    <col min="1" max="1" width="3.42578125" customWidth="1"/>
    <col min="3" max="3" width="56.28515625" customWidth="1"/>
    <col min="5" max="5" width="2.85546875" customWidth="1"/>
    <col min="6" max="9" width="10.28515625" customWidth="1"/>
    <col min="10" max="10" width="2.85546875" customWidth="1"/>
    <col min="11" max="11" width="15.7109375" customWidth="1"/>
    <col min="12" max="12" width="0" hidden="1" customWidth="1"/>
    <col min="13" max="13" width="14.5703125" customWidth="1"/>
    <col min="14" max="14" width="0" style="17" hidden="1" customWidth="1"/>
    <col min="15" max="15" width="2.85546875" customWidth="1"/>
    <col min="16" max="16" width="16.5703125" customWidth="1"/>
    <col min="17" max="17" width="0" hidden="1" customWidth="1"/>
    <col min="18" max="18" width="3.42578125" customWidth="1"/>
    <col min="19" max="19" width="36.28515625" customWidth="1"/>
  </cols>
  <sheetData>
    <row r="1" spans="2:19" ht="15.75" thickBot="1"/>
    <row r="2" spans="2:19" ht="15.75" thickBot="1">
      <c r="F2" s="15" t="s">
        <v>151</v>
      </c>
      <c r="G2" s="16">
        <v>31</v>
      </c>
    </row>
    <row r="4" spans="2:19" s="5" customFormat="1">
      <c r="D4" s="18"/>
      <c r="E4"/>
      <c r="F4" s="114" t="s">
        <v>146</v>
      </c>
      <c r="G4" s="117"/>
      <c r="H4" s="117"/>
      <c r="I4" s="115"/>
      <c r="J4" s="18"/>
      <c r="K4" s="116" t="s">
        <v>150</v>
      </c>
      <c r="L4" s="116"/>
      <c r="M4" s="116" t="s">
        <v>152</v>
      </c>
      <c r="N4" s="116"/>
      <c r="O4" s="18"/>
      <c r="P4" s="116" t="s">
        <v>153</v>
      </c>
      <c r="Q4" s="116"/>
      <c r="S4" s="118" t="s">
        <v>280</v>
      </c>
    </row>
    <row r="5" spans="2:19" s="5" customFormat="1">
      <c r="B5" s="19" t="s">
        <v>130</v>
      </c>
      <c r="C5" s="19" t="s">
        <v>154</v>
      </c>
      <c r="D5" s="20" t="s">
        <v>155</v>
      </c>
      <c r="E5"/>
      <c r="F5" s="89" t="s">
        <v>147</v>
      </c>
      <c r="G5" s="90" t="s">
        <v>148</v>
      </c>
      <c r="H5" s="26" t="s">
        <v>149</v>
      </c>
      <c r="I5" s="27" t="s">
        <v>233</v>
      </c>
      <c r="J5" s="18"/>
      <c r="K5" s="25" t="s">
        <v>131</v>
      </c>
      <c r="L5" s="27" t="s">
        <v>132</v>
      </c>
      <c r="M5" s="25" t="s">
        <v>131</v>
      </c>
      <c r="N5" s="48" t="s">
        <v>132</v>
      </c>
      <c r="O5" s="18"/>
      <c r="P5" s="25" t="s">
        <v>131</v>
      </c>
      <c r="Q5" s="27" t="s">
        <v>132</v>
      </c>
      <c r="S5" s="119"/>
    </row>
    <row r="6" spans="2:19">
      <c r="B6" s="21" t="s">
        <v>54</v>
      </c>
      <c r="C6" s="21" t="s">
        <v>17</v>
      </c>
      <c r="D6" s="98" t="s">
        <v>96</v>
      </c>
      <c r="F6" s="28">
        <f>VLOOKUP($B6,'Unify Report'!$A$2:$V$97,19,FALSE)</f>
        <v>6113.333333333333</v>
      </c>
      <c r="G6" s="29">
        <f>VLOOKUP($B6,'Unify Report'!$A$2:$V$97,20,FALSE)</f>
        <v>4681.25</v>
      </c>
      <c r="H6" s="94">
        <f>F6/G6</f>
        <v>1.3059190031152648</v>
      </c>
      <c r="I6" s="91">
        <f>F6-G6</f>
        <v>1432.083333333333</v>
      </c>
      <c r="J6" s="3"/>
      <c r="K6" s="51">
        <f>VLOOKUP($D6,Beddays_Data!$C$2:$E$99,2,FALSE)</f>
        <v>764</v>
      </c>
      <c r="L6" s="30">
        <f>VLOOKUP($D6,Beddays_Data!$C$2:$E$99,3,FALSE)</f>
        <v>744</v>
      </c>
      <c r="M6" s="28">
        <f t="shared" ref="M6:M51" si="0">$K6/$G$2</f>
        <v>24.64516129032258</v>
      </c>
      <c r="N6" s="30">
        <f t="shared" ref="N6:N51" si="1">$L6/$G$2</f>
        <v>24</v>
      </c>
      <c r="O6" s="3"/>
      <c r="P6" s="31">
        <f t="shared" ref="P6:P52" si="2">$F6/$K6</f>
        <v>8.00174520069808</v>
      </c>
      <c r="Q6" s="32">
        <f t="shared" ref="Q6:Q52" si="3">$F6/$L6</f>
        <v>8.2168458781361995</v>
      </c>
      <c r="S6" s="19"/>
    </row>
    <row r="7" spans="2:19">
      <c r="B7" s="21" t="s">
        <v>55</v>
      </c>
      <c r="C7" s="21" t="s">
        <v>20</v>
      </c>
      <c r="D7" s="21" t="s">
        <v>97</v>
      </c>
      <c r="F7" s="28">
        <f>VLOOKUP($B7,'Unify Report'!$A$2:$V$97,19,FALSE)</f>
        <v>8614.5833333333339</v>
      </c>
      <c r="G7" s="29">
        <f>VLOOKUP($B7,'Unify Report'!$A$2:$V$97,20,FALSE)</f>
        <v>8579.6666666666661</v>
      </c>
      <c r="H7" s="94">
        <f t="shared" ref="H7:H52" si="4">F7/G7</f>
        <v>1.0040696996775322</v>
      </c>
      <c r="I7" s="91">
        <f t="shared" ref="I7:I52" si="5">F7-G7</f>
        <v>34.916666666667879</v>
      </c>
      <c r="J7" s="3"/>
      <c r="K7" s="51">
        <f>VLOOKUP($D7,Beddays_Data!$C$2:$E$99,2,FALSE)</f>
        <v>922</v>
      </c>
      <c r="L7" s="30">
        <f>VLOOKUP($D7,Beddays_Data!$C$2:$E$99,3,FALSE)</f>
        <v>1023</v>
      </c>
      <c r="M7" s="28">
        <f t="shared" si="0"/>
        <v>29.741935483870968</v>
      </c>
      <c r="N7" s="30">
        <f t="shared" si="1"/>
        <v>33</v>
      </c>
      <c r="O7" s="3"/>
      <c r="P7" s="31">
        <f t="shared" si="2"/>
        <v>9.3433658712942886</v>
      </c>
      <c r="Q7" s="32">
        <f t="shared" si="3"/>
        <v>8.4209025741283821</v>
      </c>
      <c r="S7" s="21"/>
    </row>
    <row r="8" spans="2:19">
      <c r="B8" s="21" t="s">
        <v>56</v>
      </c>
      <c r="C8" s="21" t="s">
        <v>19</v>
      </c>
      <c r="D8" s="21" t="s">
        <v>98</v>
      </c>
      <c r="F8" s="28">
        <f>VLOOKUP($B8,'Unify Report'!$A$2:$V$97,19,FALSE)</f>
        <v>7437.583333333333</v>
      </c>
      <c r="G8" s="29">
        <f>VLOOKUP($B8,'Unify Report'!$A$2:$V$97,20,FALSE)</f>
        <v>7167.5833333333303</v>
      </c>
      <c r="H8" s="94">
        <f t="shared" si="4"/>
        <v>1.0376696003999493</v>
      </c>
      <c r="I8" s="91">
        <f t="shared" si="5"/>
        <v>270.00000000000273</v>
      </c>
      <c r="J8" s="3"/>
      <c r="K8" s="51">
        <f>VLOOKUP($D8,Beddays_Data!$C$2:$E$99,2,FALSE)</f>
        <v>910</v>
      </c>
      <c r="L8" s="30">
        <f>VLOOKUP($D8,Beddays_Data!$C$2:$E$99,3,FALSE)</f>
        <v>930</v>
      </c>
      <c r="M8" s="28">
        <f t="shared" si="0"/>
        <v>29.35483870967742</v>
      </c>
      <c r="N8" s="30">
        <f t="shared" si="1"/>
        <v>30</v>
      </c>
      <c r="O8" s="3"/>
      <c r="P8" s="31">
        <f t="shared" si="2"/>
        <v>8.1731684981684971</v>
      </c>
      <c r="Q8" s="32">
        <f t="shared" si="3"/>
        <v>7.9974014336917563</v>
      </c>
      <c r="S8" s="21"/>
    </row>
    <row r="9" spans="2:19">
      <c r="B9" s="21" t="s">
        <v>57</v>
      </c>
      <c r="C9" s="21" t="s">
        <v>13</v>
      </c>
      <c r="D9" s="21" t="s">
        <v>99</v>
      </c>
      <c r="F9" s="28">
        <f>VLOOKUP($B9,'Unify Report'!$A$2:$V$97,19,FALSE)</f>
        <v>5520.416666666667</v>
      </c>
      <c r="G9" s="29">
        <f>VLOOKUP($B9,'Unify Report'!$A$2:$V$97,20,FALSE)</f>
        <v>5363.25</v>
      </c>
      <c r="H9" s="94">
        <f t="shared" si="4"/>
        <v>1.0293043707950715</v>
      </c>
      <c r="I9" s="91">
        <f t="shared" si="5"/>
        <v>157.16666666666697</v>
      </c>
      <c r="J9" s="3"/>
      <c r="K9" s="51">
        <f>VLOOKUP($D9,Beddays_Data!$C$2:$E$99,2,FALSE)</f>
        <v>722</v>
      </c>
      <c r="L9" s="30">
        <f>VLOOKUP($D9,Beddays_Data!$C$2:$E$99,3,FALSE)</f>
        <v>775</v>
      </c>
      <c r="M9" s="28">
        <f t="shared" si="0"/>
        <v>23.29032258064516</v>
      </c>
      <c r="N9" s="30">
        <f t="shared" si="1"/>
        <v>25</v>
      </c>
      <c r="O9" s="3"/>
      <c r="P9" s="31">
        <f t="shared" si="2"/>
        <v>7.6460064635272396</v>
      </c>
      <c r="Q9" s="32">
        <f t="shared" si="3"/>
        <v>7.1231182795698933</v>
      </c>
      <c r="S9" s="21"/>
    </row>
    <row r="10" spans="2:19">
      <c r="B10" s="21" t="s">
        <v>58</v>
      </c>
      <c r="C10" s="21" t="s">
        <v>18</v>
      </c>
      <c r="D10" s="21" t="s">
        <v>100</v>
      </c>
      <c r="F10" s="28">
        <f>VLOOKUP($B10,'Unify Report'!$A$2:$V$97,19,FALSE)</f>
        <v>3424.5</v>
      </c>
      <c r="G10" s="29">
        <f>VLOOKUP($B10,'Unify Report'!$A$2:$V$97,20,FALSE)</f>
        <v>3224.5</v>
      </c>
      <c r="H10" s="94">
        <f t="shared" si="4"/>
        <v>1.0620251201736703</v>
      </c>
      <c r="I10" s="91">
        <f t="shared" si="5"/>
        <v>200</v>
      </c>
      <c r="J10" s="3"/>
      <c r="K10" s="51">
        <f>VLOOKUP($D10,Beddays_Data!$C$2:$E$99,2,FALSE)</f>
        <v>517</v>
      </c>
      <c r="L10" s="30">
        <f>VLOOKUP($D10,Beddays_Data!$C$2:$E$99,3,FALSE)</f>
        <v>527</v>
      </c>
      <c r="M10" s="28">
        <f t="shared" si="0"/>
        <v>16.677419354838708</v>
      </c>
      <c r="N10" s="30">
        <f t="shared" si="1"/>
        <v>17</v>
      </c>
      <c r="O10" s="3"/>
      <c r="P10" s="31">
        <f t="shared" si="2"/>
        <v>6.6237911025145069</v>
      </c>
      <c r="Q10" s="32">
        <f t="shared" si="3"/>
        <v>6.4981024667931688</v>
      </c>
      <c r="S10" s="21"/>
    </row>
    <row r="11" spans="2:19">
      <c r="B11" s="21" t="s">
        <v>59</v>
      </c>
      <c r="C11" s="21" t="s">
        <v>15</v>
      </c>
      <c r="D11" s="21" t="s">
        <v>101</v>
      </c>
      <c r="F11" s="28">
        <f>VLOOKUP($B11,'Unify Report'!$A$2:$V$97,19,FALSE)</f>
        <v>5633.75</v>
      </c>
      <c r="G11" s="29">
        <f>VLOOKUP($B11,'Unify Report'!$A$2:$V$97,20,FALSE)</f>
        <v>4787.5</v>
      </c>
      <c r="H11" s="94">
        <f t="shared" si="4"/>
        <v>1.1767624020887728</v>
      </c>
      <c r="I11" s="91">
        <f t="shared" si="5"/>
        <v>846.25</v>
      </c>
      <c r="J11" s="3"/>
      <c r="K11" s="51">
        <f>VLOOKUP($D11,Beddays_Data!$C$2:$E$99,2,FALSE)</f>
        <v>759</v>
      </c>
      <c r="L11" s="30">
        <f>VLOOKUP($D11,Beddays_Data!$C$2:$E$99,3,FALSE)</f>
        <v>775</v>
      </c>
      <c r="M11" s="28">
        <f t="shared" si="0"/>
        <v>24.483870967741936</v>
      </c>
      <c r="N11" s="30">
        <f t="shared" si="1"/>
        <v>25</v>
      </c>
      <c r="O11" s="3"/>
      <c r="P11" s="31">
        <f t="shared" si="2"/>
        <v>7.4225955204216074</v>
      </c>
      <c r="Q11" s="32">
        <f t="shared" si="3"/>
        <v>7.2693548387096776</v>
      </c>
      <c r="S11" s="21"/>
    </row>
    <row r="12" spans="2:19">
      <c r="B12" s="21" t="s">
        <v>60</v>
      </c>
      <c r="C12" s="21" t="s">
        <v>22</v>
      </c>
      <c r="D12" s="21" t="s">
        <v>102</v>
      </c>
      <c r="F12" s="28">
        <f>VLOOKUP($B12,'Unify Report'!$A$2:$V$97,19,FALSE)</f>
        <v>3676</v>
      </c>
      <c r="G12" s="29">
        <f>VLOOKUP($B12,'Unify Report'!$A$2:$V$97,20,FALSE)</f>
        <v>3408.75</v>
      </c>
      <c r="H12" s="94">
        <f t="shared" si="4"/>
        <v>1.0784011734506784</v>
      </c>
      <c r="I12" s="91">
        <f t="shared" si="5"/>
        <v>267.25</v>
      </c>
      <c r="J12" s="3"/>
      <c r="K12" s="51">
        <f>VLOOKUP($D12,Beddays_Data!$C$2:$E$99,2,FALSE)</f>
        <v>617</v>
      </c>
      <c r="L12" s="30">
        <f>VLOOKUP($D12,Beddays_Data!$C$2:$E$99,3,FALSE)</f>
        <v>620</v>
      </c>
      <c r="M12" s="28">
        <f t="shared" si="0"/>
        <v>19.903225806451612</v>
      </c>
      <c r="N12" s="30">
        <f t="shared" si="1"/>
        <v>20</v>
      </c>
      <c r="O12" s="3"/>
      <c r="P12" s="31">
        <f t="shared" si="2"/>
        <v>5.9578606158833063</v>
      </c>
      <c r="Q12" s="32">
        <f t="shared" si="3"/>
        <v>5.9290322580645158</v>
      </c>
      <c r="S12" s="21"/>
    </row>
    <row r="13" spans="2:19">
      <c r="B13" s="21" t="s">
        <v>61</v>
      </c>
      <c r="C13" s="21" t="s">
        <v>23</v>
      </c>
      <c r="D13" s="21" t="s">
        <v>103</v>
      </c>
      <c r="F13" s="28">
        <f>VLOOKUP($B13,'Unify Report'!$A$2:$V$97,19,FALSE)</f>
        <v>4515.75</v>
      </c>
      <c r="G13" s="29">
        <f>VLOOKUP($B13,'Unify Report'!$A$2:$V$97,20,FALSE)</f>
        <v>4272.5</v>
      </c>
      <c r="H13" s="94">
        <f t="shared" si="4"/>
        <v>1.0569338794616734</v>
      </c>
      <c r="I13" s="91">
        <f t="shared" si="5"/>
        <v>243.25</v>
      </c>
      <c r="J13" s="3"/>
      <c r="K13" s="51">
        <f>VLOOKUP($D13,Beddays_Data!$C$2:$E$99,2,FALSE)</f>
        <v>404</v>
      </c>
      <c r="L13" s="30">
        <f>VLOOKUP($D13,Beddays_Data!$C$2:$E$99,3,FALSE)</f>
        <v>434</v>
      </c>
      <c r="M13" s="28">
        <f t="shared" si="0"/>
        <v>13.03225806451613</v>
      </c>
      <c r="N13" s="30">
        <f t="shared" si="1"/>
        <v>14</v>
      </c>
      <c r="O13" s="3"/>
      <c r="P13" s="31">
        <f t="shared" si="2"/>
        <v>11.177599009900991</v>
      </c>
      <c r="Q13" s="32">
        <f t="shared" si="3"/>
        <v>10.40495391705069</v>
      </c>
      <c r="S13" s="21"/>
    </row>
    <row r="14" spans="2:19">
      <c r="B14" s="21" t="s">
        <v>62</v>
      </c>
      <c r="C14" s="21" t="s">
        <v>16</v>
      </c>
      <c r="D14" s="21" t="s">
        <v>104</v>
      </c>
      <c r="F14" s="28">
        <f>VLOOKUP($B14,'Unify Report'!$A$2:$V$97,19,FALSE)</f>
        <v>4726.5</v>
      </c>
      <c r="G14" s="29">
        <f>VLOOKUP($B14,'Unify Report'!$A$2:$V$97,20,FALSE)</f>
        <v>3579.25</v>
      </c>
      <c r="H14" s="94">
        <f t="shared" si="4"/>
        <v>1.3205280435845499</v>
      </c>
      <c r="I14" s="91">
        <f t="shared" si="5"/>
        <v>1147.25</v>
      </c>
      <c r="J14" s="3"/>
      <c r="K14" s="51">
        <f>VLOOKUP($D14,Beddays_Data!$C$2:$E$99,2,FALSE)</f>
        <v>619</v>
      </c>
      <c r="L14" s="30">
        <f>VLOOKUP($D14,Beddays_Data!$C$2:$E$99,3,FALSE)</f>
        <v>620</v>
      </c>
      <c r="M14" s="28">
        <f t="shared" si="0"/>
        <v>19.967741935483872</v>
      </c>
      <c r="N14" s="30">
        <f t="shared" si="1"/>
        <v>20</v>
      </c>
      <c r="O14" s="3"/>
      <c r="P14" s="31">
        <f t="shared" si="2"/>
        <v>7.635702746365105</v>
      </c>
      <c r="Q14" s="32">
        <f t="shared" si="3"/>
        <v>7.6233870967741932</v>
      </c>
      <c r="S14" s="21"/>
    </row>
    <row r="15" spans="2:19">
      <c r="B15" s="21" t="s">
        <v>63</v>
      </c>
      <c r="C15" s="21" t="s">
        <v>14</v>
      </c>
      <c r="D15" s="21" t="s">
        <v>105</v>
      </c>
      <c r="F15" s="28">
        <f>VLOOKUP($B15,'Unify Report'!$A$2:$V$97,19,FALSE)</f>
        <v>3564.5</v>
      </c>
      <c r="G15" s="29">
        <f>VLOOKUP($B15,'Unify Report'!$A$2:$V$97,20,FALSE)</f>
        <v>3597.75</v>
      </c>
      <c r="H15" s="94">
        <f t="shared" si="4"/>
        <v>0.99075811270933223</v>
      </c>
      <c r="I15" s="91">
        <f t="shared" si="5"/>
        <v>-33.25</v>
      </c>
      <c r="J15" s="3"/>
      <c r="K15" s="51">
        <f>VLOOKUP($D15,Beddays_Data!$C$2:$E$99,2,FALSE)</f>
        <v>559</v>
      </c>
      <c r="L15" s="30">
        <f>VLOOKUP($D15,Beddays_Data!$C$2:$E$99,3,FALSE)</f>
        <v>558</v>
      </c>
      <c r="M15" s="28">
        <f t="shared" si="0"/>
        <v>18.032258064516128</v>
      </c>
      <c r="N15" s="30">
        <f t="shared" si="1"/>
        <v>18</v>
      </c>
      <c r="O15" s="3"/>
      <c r="P15" s="31">
        <f t="shared" si="2"/>
        <v>6.3765652951699465</v>
      </c>
      <c r="Q15" s="32">
        <f t="shared" si="3"/>
        <v>6.3879928315412187</v>
      </c>
      <c r="S15" s="21"/>
    </row>
    <row r="16" spans="2:19">
      <c r="B16" s="21" t="s">
        <v>64</v>
      </c>
      <c r="C16" s="21" t="s">
        <v>21</v>
      </c>
      <c r="D16" s="21" t="s">
        <v>106</v>
      </c>
      <c r="F16" s="28">
        <f>VLOOKUP($B16,'Unify Report'!$A$2:$V$97,19,FALSE)</f>
        <v>4081.25</v>
      </c>
      <c r="G16" s="29">
        <f>VLOOKUP($B16,'Unify Report'!$A$2:$V$97,20,FALSE)</f>
        <v>4205</v>
      </c>
      <c r="H16" s="94">
        <f t="shared" si="4"/>
        <v>0.97057074910820451</v>
      </c>
      <c r="I16" s="91">
        <f t="shared" si="5"/>
        <v>-123.75</v>
      </c>
      <c r="J16" s="3"/>
      <c r="K16" s="51">
        <f>VLOOKUP($D16,Beddays_Data!$C$2:$E$99,2,FALSE)</f>
        <v>737</v>
      </c>
      <c r="L16" s="30">
        <f>VLOOKUP($D16,Beddays_Data!$C$2:$E$99,3,FALSE)</f>
        <v>744</v>
      </c>
      <c r="M16" s="28">
        <f t="shared" si="0"/>
        <v>23.774193548387096</v>
      </c>
      <c r="N16" s="30">
        <f t="shared" si="1"/>
        <v>24</v>
      </c>
      <c r="O16" s="3"/>
      <c r="P16" s="31">
        <f t="shared" si="2"/>
        <v>5.5376526458616011</v>
      </c>
      <c r="Q16" s="32">
        <f t="shared" si="3"/>
        <v>5.485551075268817</v>
      </c>
      <c r="S16" s="21"/>
    </row>
    <row r="17" spans="2:19">
      <c r="B17" s="21" t="s">
        <v>65</v>
      </c>
      <c r="C17" s="21" t="s">
        <v>24</v>
      </c>
      <c r="D17" s="22" t="s">
        <v>107</v>
      </c>
      <c r="F17" s="28">
        <f>VLOOKUP($B17,'Unify Report'!$A$2:$V$97,19,FALSE)</f>
        <v>5400.75</v>
      </c>
      <c r="G17" s="29">
        <f>VLOOKUP($B17,'Unify Report'!$A$2:$V$97,20,FALSE)</f>
        <v>5095</v>
      </c>
      <c r="H17" s="94">
        <f t="shared" si="4"/>
        <v>1.060009813542689</v>
      </c>
      <c r="I17" s="91">
        <f t="shared" si="5"/>
        <v>305.75</v>
      </c>
      <c r="J17" s="3"/>
      <c r="K17" s="51">
        <f>VLOOKUP($D17,Beddays_Data!$C$2:$E$99,2,FALSE)</f>
        <v>915</v>
      </c>
      <c r="L17" s="30">
        <f>VLOOKUP($D17,Beddays_Data!$C$2:$E$99,3,FALSE)</f>
        <v>930</v>
      </c>
      <c r="M17" s="28">
        <f t="shared" si="0"/>
        <v>29.516129032258064</v>
      </c>
      <c r="N17" s="30">
        <f t="shared" si="1"/>
        <v>30</v>
      </c>
      <c r="O17" s="3"/>
      <c r="P17" s="31">
        <f t="shared" si="2"/>
        <v>5.9024590163934425</v>
      </c>
      <c r="Q17" s="32">
        <f t="shared" si="3"/>
        <v>5.8072580645161294</v>
      </c>
      <c r="S17" s="21"/>
    </row>
    <row r="18" spans="2:19">
      <c r="B18" s="21" t="s">
        <v>66</v>
      </c>
      <c r="C18" s="21" t="s">
        <v>25</v>
      </c>
      <c r="D18" s="22" t="s">
        <v>108</v>
      </c>
      <c r="F18" s="28">
        <f>VLOOKUP($B18,'Unify Report'!$A$2:$V$97,19,FALSE)</f>
        <v>5110</v>
      </c>
      <c r="G18" s="29">
        <f>VLOOKUP($B18,'Unify Report'!$A$2:$V$97,20,FALSE)</f>
        <v>4891.25</v>
      </c>
      <c r="H18" s="94">
        <f t="shared" si="4"/>
        <v>1.0447227191413238</v>
      </c>
      <c r="I18" s="91">
        <f t="shared" si="5"/>
        <v>218.75</v>
      </c>
      <c r="J18" s="3"/>
      <c r="K18" s="51">
        <f>VLOOKUP($D18,Beddays_Data!$C$2:$E$99,2,FALSE)</f>
        <v>921</v>
      </c>
      <c r="L18" s="30">
        <f>VLOOKUP($D18,Beddays_Data!$C$2:$E$99,3,FALSE)</f>
        <v>930</v>
      </c>
      <c r="M18" s="28">
        <f t="shared" si="0"/>
        <v>29.70967741935484</v>
      </c>
      <c r="N18" s="30">
        <f t="shared" si="1"/>
        <v>30</v>
      </c>
      <c r="O18" s="3"/>
      <c r="P18" s="31">
        <f t="shared" si="2"/>
        <v>5.548317046688382</v>
      </c>
      <c r="Q18" s="32">
        <f t="shared" si="3"/>
        <v>5.4946236559139781</v>
      </c>
      <c r="S18" s="21"/>
    </row>
    <row r="19" spans="2:19" s="5" customFormat="1">
      <c r="B19" s="33" t="s">
        <v>50</v>
      </c>
      <c r="C19" s="35"/>
      <c r="D19" s="36"/>
      <c r="F19" s="37">
        <f>SUM(F6:F18)</f>
        <v>67818.916666666672</v>
      </c>
      <c r="G19" s="38">
        <f>SUM(G6:G18)</f>
        <v>62853.25</v>
      </c>
      <c r="H19" s="95">
        <f t="shared" si="4"/>
        <v>1.0790041352939852</v>
      </c>
      <c r="I19" s="92">
        <f t="shared" si="5"/>
        <v>4965.6666666666715</v>
      </c>
      <c r="J19" s="18"/>
      <c r="K19" s="47">
        <f>SUM(K6:K18)</f>
        <v>9366</v>
      </c>
      <c r="L19" s="38">
        <f>SUM(L6:L18)</f>
        <v>9610</v>
      </c>
      <c r="M19" s="37">
        <f t="shared" si="0"/>
        <v>302.12903225806451</v>
      </c>
      <c r="N19" s="39">
        <f t="shared" si="1"/>
        <v>310</v>
      </c>
      <c r="O19" s="18"/>
      <c r="P19" s="40">
        <f t="shared" si="2"/>
        <v>7.2409691081215746</v>
      </c>
      <c r="Q19" s="41">
        <f t="shared" si="3"/>
        <v>7.0571193201526192</v>
      </c>
      <c r="S19" s="121"/>
    </row>
    <row r="20" spans="2:19">
      <c r="B20" s="21" t="s">
        <v>67</v>
      </c>
      <c r="C20" s="21" t="s">
        <v>27</v>
      </c>
      <c r="D20" s="21" t="s">
        <v>109</v>
      </c>
      <c r="F20" s="28">
        <f>VLOOKUP($B20,'Unify Report'!$A$2:$V$97,19,FALSE)</f>
        <v>3801.25</v>
      </c>
      <c r="G20" s="29">
        <f>VLOOKUP($B20,'Unify Report'!$A$2:$V$97,20,FALSE)</f>
        <v>3931.75</v>
      </c>
      <c r="H20" s="94">
        <f t="shared" si="4"/>
        <v>0.96680867298276851</v>
      </c>
      <c r="I20" s="91">
        <f t="shared" si="5"/>
        <v>-130.5</v>
      </c>
      <c r="J20" s="3"/>
      <c r="K20" s="51">
        <f>VLOOKUP($D20,Beddays_Data!$C$2:$E$99,2,FALSE)</f>
        <v>267</v>
      </c>
      <c r="L20" s="30">
        <f>VLOOKUP($D20,Beddays_Data!$C$2:$E$99,3,FALSE)</f>
        <v>341</v>
      </c>
      <c r="M20" s="28">
        <f t="shared" si="0"/>
        <v>8.612903225806452</v>
      </c>
      <c r="N20" s="30">
        <f t="shared" si="1"/>
        <v>11</v>
      </c>
      <c r="O20" s="3"/>
      <c r="P20" s="31">
        <f t="shared" si="2"/>
        <v>14.236891385767791</v>
      </c>
      <c r="Q20" s="32">
        <f t="shared" si="3"/>
        <v>11.147360703812316</v>
      </c>
      <c r="S20" s="19"/>
    </row>
    <row r="21" spans="2:19">
      <c r="B21" s="21" t="s">
        <v>68</v>
      </c>
      <c r="C21" s="21" t="s">
        <v>30</v>
      </c>
      <c r="D21" s="21" t="s">
        <v>110</v>
      </c>
      <c r="F21" s="28">
        <f>VLOOKUP($B21,'Unify Report'!$A$2:$V$97,19,FALSE)</f>
        <v>12971.833333333332</v>
      </c>
      <c r="G21" s="29">
        <f>VLOOKUP($B21,'Unify Report'!$A$2:$V$97,20,FALSE)</f>
        <v>13611.833333333332</v>
      </c>
      <c r="H21" s="94">
        <f t="shared" si="4"/>
        <v>0.95298208666478923</v>
      </c>
      <c r="I21" s="91">
        <f t="shared" si="5"/>
        <v>-640</v>
      </c>
      <c r="J21" s="3"/>
      <c r="K21" s="51">
        <f>VLOOKUP($D21,Beddays_Data!$C$2:$E$99,2,FALSE)</f>
        <v>698</v>
      </c>
      <c r="L21" s="30">
        <f>VLOOKUP($D21,Beddays_Data!$C$2:$E$99,3,FALSE)</f>
        <v>744</v>
      </c>
      <c r="M21" s="28">
        <f t="shared" si="0"/>
        <v>22.516129032258064</v>
      </c>
      <c r="N21" s="30">
        <f t="shared" si="1"/>
        <v>24</v>
      </c>
      <c r="O21" s="3"/>
      <c r="P21" s="31">
        <f t="shared" si="2"/>
        <v>18.584288443170962</v>
      </c>
      <c r="Q21" s="32">
        <f t="shared" si="3"/>
        <v>17.435259856630822</v>
      </c>
      <c r="S21" s="21"/>
    </row>
    <row r="22" spans="2:19">
      <c r="B22" s="21" t="s">
        <v>69</v>
      </c>
      <c r="C22" s="21" t="s">
        <v>29</v>
      </c>
      <c r="D22" s="21" t="s">
        <v>111</v>
      </c>
      <c r="F22" s="28">
        <f>VLOOKUP($B22,'Unify Report'!$A$2:$V$97,19,FALSE)</f>
        <v>4314.75</v>
      </c>
      <c r="G22" s="29">
        <f>VLOOKUP($B22,'Unify Report'!$A$2:$V$97,20,FALSE)</f>
        <v>3910.75</v>
      </c>
      <c r="H22" s="94">
        <f t="shared" si="4"/>
        <v>1.103304992648469</v>
      </c>
      <c r="I22" s="91">
        <f t="shared" si="5"/>
        <v>404</v>
      </c>
      <c r="J22" s="3"/>
      <c r="K22" s="51">
        <f>VLOOKUP($D22,Beddays_Data!$C$2:$E$99,2,FALSE)</f>
        <v>722</v>
      </c>
      <c r="L22" s="30">
        <f>VLOOKUP($D22,Beddays_Data!$C$2:$E$99,3,FALSE)</f>
        <v>744</v>
      </c>
      <c r="M22" s="28">
        <f t="shared" si="0"/>
        <v>23.29032258064516</v>
      </c>
      <c r="N22" s="30">
        <f t="shared" si="1"/>
        <v>24</v>
      </c>
      <c r="O22" s="3"/>
      <c r="P22" s="31">
        <f t="shared" si="2"/>
        <v>5.9761080332409975</v>
      </c>
      <c r="Q22" s="32">
        <f t="shared" si="3"/>
        <v>5.799395161290323</v>
      </c>
      <c r="S22" s="21"/>
    </row>
    <row r="23" spans="2:19">
      <c r="B23" s="21" t="s">
        <v>70</v>
      </c>
      <c r="C23" s="21" t="s">
        <v>28</v>
      </c>
      <c r="D23" s="21" t="s">
        <v>112</v>
      </c>
      <c r="F23" s="28">
        <f>VLOOKUP($B23,'Unify Report'!$A$2:$V$97,19,FALSE)</f>
        <v>4040</v>
      </c>
      <c r="G23" s="29">
        <f>VLOOKUP($B23,'Unify Report'!$A$2:$V$97,20,FALSE)</f>
        <v>4048.25</v>
      </c>
      <c r="H23" s="94">
        <f t="shared" si="4"/>
        <v>0.99796208238127582</v>
      </c>
      <c r="I23" s="91">
        <f t="shared" si="5"/>
        <v>-8.25</v>
      </c>
      <c r="J23" s="3"/>
      <c r="K23" s="51">
        <f>VLOOKUP($D23,Beddays_Data!$C$2:$E$99,2,FALSE)</f>
        <v>702</v>
      </c>
      <c r="L23" s="30">
        <f>VLOOKUP($D23,Beddays_Data!$C$2:$E$99,3,FALSE)</f>
        <v>713</v>
      </c>
      <c r="M23" s="28">
        <f t="shared" si="0"/>
        <v>22.64516129032258</v>
      </c>
      <c r="N23" s="30">
        <f t="shared" si="1"/>
        <v>23</v>
      </c>
      <c r="O23" s="3"/>
      <c r="P23" s="31">
        <f t="shared" si="2"/>
        <v>5.7549857549857553</v>
      </c>
      <c r="Q23" s="32">
        <f t="shared" si="3"/>
        <v>5.6661991584852736</v>
      </c>
      <c r="S23" s="21"/>
    </row>
    <row r="24" spans="2:19">
      <c r="B24" s="21" t="s">
        <v>71</v>
      </c>
      <c r="C24" s="21" t="s">
        <v>26</v>
      </c>
      <c r="D24" s="21" t="s">
        <v>113</v>
      </c>
      <c r="F24" s="28">
        <f>VLOOKUP($B24,'Unify Report'!$A$2:$V$97,19,FALSE)</f>
        <v>4054</v>
      </c>
      <c r="G24" s="29">
        <f>VLOOKUP($B24,'Unify Report'!$A$2:$V$97,20,FALSE)</f>
        <v>3891.5</v>
      </c>
      <c r="H24" s="94">
        <f t="shared" si="4"/>
        <v>1.0417576769883079</v>
      </c>
      <c r="I24" s="91">
        <f t="shared" si="5"/>
        <v>162.5</v>
      </c>
      <c r="J24" s="3"/>
      <c r="K24" s="51">
        <f>VLOOKUP($D24,Beddays_Data!$C$2:$E$99,2,FALSE)</f>
        <v>726</v>
      </c>
      <c r="L24" s="30">
        <f>VLOOKUP($D24,Beddays_Data!$C$2:$E$99,3,FALSE)</f>
        <v>744</v>
      </c>
      <c r="M24" s="28">
        <f t="shared" si="0"/>
        <v>23.419354838709676</v>
      </c>
      <c r="N24" s="30">
        <f t="shared" si="1"/>
        <v>24</v>
      </c>
      <c r="O24" s="3"/>
      <c r="P24" s="31">
        <f t="shared" si="2"/>
        <v>5.5840220385674932</v>
      </c>
      <c r="Q24" s="32">
        <f t="shared" si="3"/>
        <v>5.448924731182796</v>
      </c>
      <c r="S24" s="21"/>
    </row>
    <row r="25" spans="2:19">
      <c r="B25" s="21" t="s">
        <v>72</v>
      </c>
      <c r="C25" s="21" t="s">
        <v>31</v>
      </c>
      <c r="D25" s="21" t="s">
        <v>114</v>
      </c>
      <c r="F25" s="28">
        <f>VLOOKUP($B25,'Unify Report'!$A$2:$V$97,19,FALSE)</f>
        <v>7075.4166666666661</v>
      </c>
      <c r="G25" s="29">
        <f>VLOOKUP($B25,'Unify Report'!$A$2:$V$97,20,FALSE)</f>
        <v>6467.166666666657</v>
      </c>
      <c r="H25" s="94">
        <f t="shared" si="4"/>
        <v>1.0940520062881751</v>
      </c>
      <c r="I25" s="91">
        <f t="shared" si="5"/>
        <v>608.25000000000909</v>
      </c>
      <c r="J25" s="3"/>
      <c r="K25" s="51">
        <f>VLOOKUP($D25,Beddays_Data!$C$2:$E$99,2,FALSE)</f>
        <v>868</v>
      </c>
      <c r="L25" s="30">
        <f>VLOOKUP($D25,Beddays_Data!$C$2:$E$99,3,FALSE)</f>
        <v>992</v>
      </c>
      <c r="M25" s="28">
        <f t="shared" si="0"/>
        <v>28</v>
      </c>
      <c r="N25" s="30">
        <f t="shared" si="1"/>
        <v>32</v>
      </c>
      <c r="O25" s="3"/>
      <c r="P25" s="31">
        <f t="shared" si="2"/>
        <v>8.1514016897081412</v>
      </c>
      <c r="Q25" s="32">
        <f t="shared" si="3"/>
        <v>7.1324764784946231</v>
      </c>
      <c r="S25" s="21"/>
    </row>
    <row r="26" spans="2:19">
      <c r="B26" s="21" t="s">
        <v>73</v>
      </c>
      <c r="C26" s="21" t="s">
        <v>32</v>
      </c>
      <c r="D26" s="21" t="s">
        <v>115</v>
      </c>
      <c r="F26" s="28">
        <f>VLOOKUP($B26,'Unify Report'!$A$2:$V$97,19,FALSE)</f>
        <v>5528.1666666666661</v>
      </c>
      <c r="G26" s="29">
        <f>VLOOKUP($B26,'Unify Report'!$A$2:$V$97,20,FALSE)</f>
        <v>5739</v>
      </c>
      <c r="H26" s="94">
        <f t="shared" si="4"/>
        <v>0.96326305395829692</v>
      </c>
      <c r="I26" s="91">
        <f t="shared" si="5"/>
        <v>-210.83333333333394</v>
      </c>
      <c r="J26" s="3"/>
      <c r="K26" s="51">
        <f>VLOOKUP($D26,Beddays_Data!$C$2:$E$99,2,FALSE)</f>
        <v>721</v>
      </c>
      <c r="L26" s="30">
        <f>VLOOKUP($D26,Beddays_Data!$C$2:$E$99,3,FALSE)</f>
        <v>744</v>
      </c>
      <c r="M26" s="28">
        <f t="shared" si="0"/>
        <v>23.258064516129032</v>
      </c>
      <c r="N26" s="30">
        <f t="shared" si="1"/>
        <v>24</v>
      </c>
      <c r="O26" s="3"/>
      <c r="P26" s="31">
        <f t="shared" si="2"/>
        <v>7.667360147942671</v>
      </c>
      <c r="Q26" s="32">
        <f t="shared" si="3"/>
        <v>7.4303315412186368</v>
      </c>
      <c r="S26" s="21"/>
    </row>
    <row r="27" spans="2:19" s="5" customFormat="1">
      <c r="B27" s="33" t="s">
        <v>51</v>
      </c>
      <c r="C27" s="35"/>
      <c r="D27" s="36"/>
      <c r="F27" s="37">
        <f>SUM(F20:F26)</f>
        <v>41785.416666666664</v>
      </c>
      <c r="G27" s="38">
        <f>SUM(G20:G26)</f>
        <v>41600.249999999985</v>
      </c>
      <c r="H27" s="95">
        <f t="shared" si="4"/>
        <v>1.0044510950455028</v>
      </c>
      <c r="I27" s="92">
        <f t="shared" si="5"/>
        <v>185.16666666667879</v>
      </c>
      <c r="J27" s="18"/>
      <c r="K27" s="47">
        <f>SUM(K20:K26)</f>
        <v>4704</v>
      </c>
      <c r="L27" s="39">
        <f>SUM(L20:L26)</f>
        <v>5022</v>
      </c>
      <c r="M27" s="37">
        <f t="shared" si="0"/>
        <v>151.74193548387098</v>
      </c>
      <c r="N27" s="39">
        <f t="shared" si="1"/>
        <v>162</v>
      </c>
      <c r="O27" s="18"/>
      <c r="P27" s="40">
        <f t="shared" si="2"/>
        <v>8.882954223356009</v>
      </c>
      <c r="Q27" s="41">
        <f t="shared" si="3"/>
        <v>8.3204732510288064</v>
      </c>
      <c r="S27" s="121"/>
    </row>
    <row r="28" spans="2:19">
      <c r="B28" s="21" t="s">
        <v>74</v>
      </c>
      <c r="C28" s="21" t="s">
        <v>232</v>
      </c>
      <c r="D28" s="22" t="s">
        <v>116</v>
      </c>
      <c r="F28" s="28">
        <f>VLOOKUP($B28,'Unify Report'!$A$2:$V$97,19,FALSE)</f>
        <v>3213.25</v>
      </c>
      <c r="G28" s="29">
        <f>VLOOKUP($B28,'Unify Report'!$A$2:$V$97,20,FALSE)</f>
        <v>3520.75</v>
      </c>
      <c r="H28" s="94">
        <f t="shared" si="4"/>
        <v>0.91266065469005186</v>
      </c>
      <c r="I28" s="91">
        <f t="shared" si="5"/>
        <v>-307.5</v>
      </c>
      <c r="J28" s="3"/>
      <c r="K28" s="51">
        <f>VLOOKUP($D28,Beddays_Data!$C$2:$E$99,2,FALSE)</f>
        <v>276</v>
      </c>
      <c r="L28" s="30">
        <f>VLOOKUP($D28,Beddays_Data!$C$2:$E$99,3,FALSE)</f>
        <v>341</v>
      </c>
      <c r="M28" s="28">
        <f t="shared" si="0"/>
        <v>8.9032258064516121</v>
      </c>
      <c r="N28" s="30">
        <f t="shared" si="1"/>
        <v>11</v>
      </c>
      <c r="O28" s="3"/>
      <c r="P28" s="31">
        <f t="shared" si="2"/>
        <v>11.642210144927537</v>
      </c>
      <c r="Q28" s="32">
        <f t="shared" si="3"/>
        <v>9.4230205278592383</v>
      </c>
      <c r="S28" s="19"/>
    </row>
    <row r="29" spans="2:19">
      <c r="B29" s="21" t="s">
        <v>75</v>
      </c>
      <c r="C29" s="21" t="s">
        <v>40</v>
      </c>
      <c r="D29" s="21" t="s">
        <v>117</v>
      </c>
      <c r="F29" s="28">
        <f>VLOOKUP($B29,'Unify Report'!$A$2:$V$97,19,FALSE)</f>
        <v>15266.633333333333</v>
      </c>
      <c r="G29" s="29">
        <f>VLOOKUP($B29,'Unify Report'!$A$2:$V$97,20,FALSE)</f>
        <v>14989.333333333332</v>
      </c>
      <c r="H29" s="94">
        <f t="shared" si="4"/>
        <v>1.0184998220957127</v>
      </c>
      <c r="I29" s="91">
        <f t="shared" si="5"/>
        <v>277.30000000000109</v>
      </c>
      <c r="J29" s="3"/>
      <c r="K29" s="51">
        <f>VLOOKUP($D29,Beddays_Data!$C$2:$E$99,2,FALSE)</f>
        <v>564</v>
      </c>
      <c r="L29" s="30">
        <f>VLOOKUP($D29,Beddays_Data!$C$2:$E$99,3,FALSE)</f>
        <v>620</v>
      </c>
      <c r="M29" s="28">
        <f t="shared" si="0"/>
        <v>18.193548387096776</v>
      </c>
      <c r="N29" s="30">
        <f t="shared" si="1"/>
        <v>20</v>
      </c>
      <c r="O29" s="3"/>
      <c r="P29" s="31">
        <f t="shared" si="2"/>
        <v>27.068498817966901</v>
      </c>
      <c r="Q29" s="32">
        <f t="shared" si="3"/>
        <v>24.623602150537636</v>
      </c>
      <c r="S29" s="21"/>
    </row>
    <row r="30" spans="2:19">
      <c r="B30" s="21" t="s">
        <v>76</v>
      </c>
      <c r="C30" s="21" t="s">
        <v>44</v>
      </c>
      <c r="D30" s="21" t="s">
        <v>118</v>
      </c>
      <c r="F30" s="28">
        <f>VLOOKUP($B30,'Unify Report'!$A$2:$V$97,19,FALSE)</f>
        <v>4014.25</v>
      </c>
      <c r="G30" s="29">
        <f>VLOOKUP($B30,'Unify Report'!$A$2:$V$97,20,FALSE)</f>
        <v>4058.75</v>
      </c>
      <c r="H30" s="94">
        <f t="shared" si="4"/>
        <v>0.98903603326147216</v>
      </c>
      <c r="I30" s="91">
        <f t="shared" si="5"/>
        <v>-44.5</v>
      </c>
      <c r="J30" s="3"/>
      <c r="K30" s="51">
        <f>VLOOKUP($D30,Beddays_Data!$C$2:$E$99,2,FALSE)</f>
        <v>499</v>
      </c>
      <c r="L30" s="30">
        <f>VLOOKUP($D30,Beddays_Data!$C$2:$E$99,3,FALSE)</f>
        <v>558</v>
      </c>
      <c r="M30" s="28">
        <f t="shared" si="0"/>
        <v>16.096774193548388</v>
      </c>
      <c r="N30" s="30">
        <f t="shared" si="1"/>
        <v>18</v>
      </c>
      <c r="O30" s="3"/>
      <c r="P30" s="31">
        <f t="shared" si="2"/>
        <v>8.0445891783567127</v>
      </c>
      <c r="Q30" s="32">
        <f t="shared" si="3"/>
        <v>7.1939964157706093</v>
      </c>
      <c r="S30" s="21"/>
    </row>
    <row r="31" spans="2:19">
      <c r="B31" s="21" t="s">
        <v>77</v>
      </c>
      <c r="C31" s="21" t="s">
        <v>42</v>
      </c>
      <c r="D31" s="21" t="s">
        <v>119</v>
      </c>
      <c r="F31" s="28">
        <f>VLOOKUP($B31,'Unify Report'!$A$2:$V$97,19,FALSE)</f>
        <v>5017.25</v>
      </c>
      <c r="G31" s="29">
        <f>VLOOKUP($B31,'Unify Report'!$A$2:$V$97,20,FALSE)</f>
        <v>4489.333333333333</v>
      </c>
      <c r="H31" s="94">
        <f t="shared" si="4"/>
        <v>1.1175935550935552</v>
      </c>
      <c r="I31" s="91">
        <f t="shared" si="5"/>
        <v>527.91666666666697</v>
      </c>
      <c r="J31" s="3"/>
      <c r="K31" s="51">
        <f>VLOOKUP($D31,Beddays_Data!$C$2:$E$99,2,FALSE)</f>
        <v>593</v>
      </c>
      <c r="L31" s="30">
        <f>VLOOKUP($D31,Beddays_Data!$C$2:$E$99,3,FALSE)</f>
        <v>682</v>
      </c>
      <c r="M31" s="28">
        <f t="shared" si="0"/>
        <v>19.129032258064516</v>
      </c>
      <c r="N31" s="30">
        <f t="shared" si="1"/>
        <v>22</v>
      </c>
      <c r="O31" s="3"/>
      <c r="P31" s="31">
        <f t="shared" si="2"/>
        <v>8.460792580101181</v>
      </c>
      <c r="Q31" s="32">
        <f t="shared" si="3"/>
        <v>7.3566715542521992</v>
      </c>
      <c r="S31" s="21"/>
    </row>
    <row r="32" spans="2:19">
      <c r="B32" s="21" t="s">
        <v>78</v>
      </c>
      <c r="C32" s="21" t="s">
        <v>43</v>
      </c>
      <c r="D32" s="21" t="s">
        <v>120</v>
      </c>
      <c r="F32" s="28">
        <f>VLOOKUP($B32,'Unify Report'!$A$2:$V$97,19,FALSE)</f>
        <v>5344.7333333333336</v>
      </c>
      <c r="G32" s="29">
        <f>VLOOKUP($B32,'Unify Report'!$A$2:$V$97,20,FALSE)</f>
        <v>5495.65</v>
      </c>
      <c r="H32" s="94">
        <f t="shared" si="4"/>
        <v>0.97253888681654288</v>
      </c>
      <c r="I32" s="91">
        <f t="shared" si="5"/>
        <v>-150.91666666666606</v>
      </c>
      <c r="J32" s="3"/>
      <c r="K32" s="51">
        <f>VLOOKUP($D32,Beddays_Data!$C$2:$E$99,2,FALSE)</f>
        <v>578</v>
      </c>
      <c r="L32" s="30">
        <f>VLOOKUP($D32,Beddays_Data!$C$2:$E$99,3,FALSE)</f>
        <v>713</v>
      </c>
      <c r="M32" s="28">
        <f t="shared" si="0"/>
        <v>18.64516129032258</v>
      </c>
      <c r="N32" s="30">
        <f t="shared" si="1"/>
        <v>23</v>
      </c>
      <c r="O32" s="3"/>
      <c r="P32" s="31">
        <f t="shared" si="2"/>
        <v>9.246943483275663</v>
      </c>
      <c r="Q32" s="32">
        <f t="shared" si="3"/>
        <v>7.4961196820944371</v>
      </c>
      <c r="S32" s="21"/>
    </row>
    <row r="33" spans="2:19">
      <c r="B33" s="21" t="s">
        <v>79</v>
      </c>
      <c r="C33" s="21" t="s">
        <v>39</v>
      </c>
      <c r="D33" s="21" t="s">
        <v>121</v>
      </c>
      <c r="F33" s="28">
        <f>VLOOKUP($B33,'Unify Report'!$A$2:$V$97,19,FALSE)</f>
        <v>6748.8666666666668</v>
      </c>
      <c r="G33" s="29">
        <f>VLOOKUP($B33,'Unify Report'!$A$2:$V$97,20,FALSE)</f>
        <v>6743.5</v>
      </c>
      <c r="H33" s="94">
        <f t="shared" si="4"/>
        <v>1.0007958280813622</v>
      </c>
      <c r="I33" s="91">
        <f t="shared" si="5"/>
        <v>5.3666666666667879</v>
      </c>
      <c r="J33" s="3"/>
      <c r="K33" s="51">
        <f>VLOOKUP($D33,Beddays_Data!$C$2:$E$99,2,FALSE)</f>
        <v>834</v>
      </c>
      <c r="L33" s="30">
        <f>VLOOKUP($D33,Beddays_Data!$C$2:$E$99,3,FALSE)</f>
        <v>992</v>
      </c>
      <c r="M33" s="28">
        <f t="shared" si="0"/>
        <v>26.903225806451612</v>
      </c>
      <c r="N33" s="30">
        <f t="shared" si="1"/>
        <v>32</v>
      </c>
      <c r="O33" s="3"/>
      <c r="P33" s="31">
        <f t="shared" si="2"/>
        <v>8.0921662669864105</v>
      </c>
      <c r="Q33" s="32">
        <f t="shared" si="3"/>
        <v>6.8032930107526886</v>
      </c>
      <c r="S33" s="21"/>
    </row>
    <row r="34" spans="2:19">
      <c r="B34" s="21" t="s">
        <v>80</v>
      </c>
      <c r="C34" s="21" t="s">
        <v>41</v>
      </c>
      <c r="D34" s="21" t="s">
        <v>122</v>
      </c>
      <c r="F34" s="28">
        <f>VLOOKUP($B34,'Unify Report'!$A$2:$V$97,19,FALSE)</f>
        <v>7269.333333333333</v>
      </c>
      <c r="G34" s="29">
        <f>VLOOKUP($B34,'Unify Report'!$A$2:$V$97,20,FALSE)</f>
        <v>6777</v>
      </c>
      <c r="H34" s="94">
        <f t="shared" si="4"/>
        <v>1.0726476808814125</v>
      </c>
      <c r="I34" s="91">
        <f t="shared" si="5"/>
        <v>492.33333333333303</v>
      </c>
      <c r="J34" s="3"/>
      <c r="K34" s="51">
        <f>VLOOKUP($D34,Beddays_Data!$C$2:$E$99,2,FALSE)</f>
        <v>965</v>
      </c>
      <c r="L34" s="30">
        <f>VLOOKUP($D34,Beddays_Data!$C$2:$E$99,3,FALSE)</f>
        <v>992</v>
      </c>
      <c r="M34" s="28">
        <f t="shared" si="0"/>
        <v>31.129032258064516</v>
      </c>
      <c r="N34" s="30">
        <f t="shared" si="1"/>
        <v>32</v>
      </c>
      <c r="O34" s="3"/>
      <c r="P34" s="31">
        <f t="shared" si="2"/>
        <v>7.5329879101899824</v>
      </c>
      <c r="Q34" s="32">
        <f t="shared" si="3"/>
        <v>7.3279569892473111</v>
      </c>
      <c r="S34" s="21"/>
    </row>
    <row r="35" spans="2:19" s="5" customFormat="1">
      <c r="B35" s="33" t="s">
        <v>52</v>
      </c>
      <c r="C35" s="35"/>
      <c r="D35" s="36"/>
      <c r="F35" s="37">
        <f>SUM(F28:F34)</f>
        <v>46874.316666666673</v>
      </c>
      <c r="G35" s="38">
        <f>SUM(G28:G34)</f>
        <v>46074.316666666666</v>
      </c>
      <c r="H35" s="95">
        <f t="shared" si="4"/>
        <v>1.0173632526291765</v>
      </c>
      <c r="I35" s="92">
        <f t="shared" si="5"/>
        <v>800.00000000000728</v>
      </c>
      <c r="J35" s="18"/>
      <c r="K35" s="47">
        <f>SUM(K28:K34)</f>
        <v>4309</v>
      </c>
      <c r="L35" s="39">
        <f>SUM(L28:L34)</f>
        <v>4898</v>
      </c>
      <c r="M35" s="37">
        <f t="shared" si="0"/>
        <v>139</v>
      </c>
      <c r="N35" s="39">
        <f t="shared" si="1"/>
        <v>158</v>
      </c>
      <c r="O35" s="18"/>
      <c r="P35" s="40">
        <f t="shared" si="2"/>
        <v>10.878235476135222</v>
      </c>
      <c r="Q35" s="41">
        <f t="shared" si="3"/>
        <v>9.5700932353341521</v>
      </c>
      <c r="S35" s="121"/>
    </row>
    <row r="36" spans="2:19">
      <c r="B36" s="21" t="s">
        <v>81</v>
      </c>
      <c r="C36" s="21" t="s">
        <v>235</v>
      </c>
      <c r="D36" s="98" t="s">
        <v>244</v>
      </c>
      <c r="F36" s="28">
        <f>VLOOKUP($B36,'Unify Report'!$A$2:$V$97,19,FALSE)</f>
        <v>11168</v>
      </c>
      <c r="G36" s="29">
        <f>VLOOKUP($B36,'Unify Report'!$A$2:$V$97,20,FALSE)</f>
        <v>13599.25</v>
      </c>
      <c r="H36" s="94">
        <f t="shared" si="4"/>
        <v>0.82122175855286139</v>
      </c>
      <c r="I36" s="91">
        <f t="shared" si="5"/>
        <v>-2431.25</v>
      </c>
      <c r="J36" s="3"/>
      <c r="K36" s="51">
        <f>VLOOKUP($D36,Beddays_Data!$C$2:$E$99,2,FALSE)</f>
        <v>361</v>
      </c>
      <c r="L36" s="30">
        <f>VLOOKUP($D36,Beddays_Data!$C$2:$E$99,3,FALSE)</f>
        <v>558</v>
      </c>
      <c r="M36" s="28">
        <f t="shared" si="0"/>
        <v>11.64516129032258</v>
      </c>
      <c r="N36" s="30">
        <f t="shared" si="1"/>
        <v>18</v>
      </c>
      <c r="O36" s="3"/>
      <c r="P36" s="31">
        <f t="shared" si="2"/>
        <v>30.936288088642659</v>
      </c>
      <c r="Q36" s="32">
        <f t="shared" si="3"/>
        <v>20.014336917562723</v>
      </c>
      <c r="S36" s="120"/>
    </row>
    <row r="37" spans="2:19">
      <c r="B37" s="21" t="s">
        <v>82</v>
      </c>
      <c r="C37" s="21" t="s">
        <v>236</v>
      </c>
      <c r="D37" s="70" t="s">
        <v>246</v>
      </c>
      <c r="F37" s="28">
        <f>VLOOKUP($B37,'Unify Report'!$A$2:$V$97,19,FALSE)</f>
        <v>7823.6666666666661</v>
      </c>
      <c r="G37" s="29">
        <f>VLOOKUP($B37,'Unify Report'!$A$2:$V$97,20,FALSE)</f>
        <v>8079.8333333333339</v>
      </c>
      <c r="H37" s="94">
        <f t="shared" si="4"/>
        <v>0.96829555065079709</v>
      </c>
      <c r="I37" s="91">
        <f t="shared" si="5"/>
        <v>-256.16666666666788</v>
      </c>
      <c r="J37" s="3"/>
      <c r="K37" s="51">
        <f>VLOOKUP($D37,Beddays_Data!$C$2:$E$99,2,FALSE)</f>
        <v>705</v>
      </c>
      <c r="L37" s="30">
        <f>VLOOKUP($D37,Beddays_Data!$C$2:$E$99,3,FALSE)</f>
        <v>992</v>
      </c>
      <c r="M37" s="28">
        <f t="shared" si="0"/>
        <v>22.741935483870968</v>
      </c>
      <c r="N37" s="30">
        <f t="shared" si="1"/>
        <v>32</v>
      </c>
      <c r="O37" s="3"/>
      <c r="P37" s="31">
        <f t="shared" si="2"/>
        <v>11.097399527186761</v>
      </c>
      <c r="Q37" s="32">
        <f t="shared" si="3"/>
        <v>7.8867607526881711</v>
      </c>
      <c r="S37" s="21"/>
    </row>
    <row r="38" spans="2:19">
      <c r="B38" s="21" t="s">
        <v>83</v>
      </c>
      <c r="C38" s="21" t="s">
        <v>237</v>
      </c>
      <c r="D38" s="70" t="s">
        <v>253</v>
      </c>
      <c r="F38" s="28">
        <f>VLOOKUP($B38,'Unify Report'!$A$2:$V$97,19,FALSE)</f>
        <v>4620.5</v>
      </c>
      <c r="G38" s="29">
        <f>VLOOKUP($B38,'Unify Report'!$A$2:$V$97,20,FALSE)</f>
        <v>4763</v>
      </c>
      <c r="H38" s="94">
        <f t="shared" si="4"/>
        <v>0.97008188116733152</v>
      </c>
      <c r="I38" s="91">
        <f t="shared" si="5"/>
        <v>-142.5</v>
      </c>
      <c r="J38" s="3"/>
      <c r="K38" s="51">
        <f>VLOOKUP($D38,Beddays_Data!$C$2:$E$99,2,FALSE)</f>
        <v>457</v>
      </c>
      <c r="L38" s="30">
        <f>VLOOKUP($D38,Beddays_Data!$C$2:$E$99,3,FALSE)</f>
        <v>682</v>
      </c>
      <c r="M38" s="28">
        <f t="shared" si="0"/>
        <v>14.741935483870968</v>
      </c>
      <c r="N38" s="30">
        <f t="shared" si="1"/>
        <v>22</v>
      </c>
      <c r="O38" s="3"/>
      <c r="P38" s="31">
        <f t="shared" si="2"/>
        <v>10.110503282275712</v>
      </c>
      <c r="Q38" s="32">
        <f t="shared" si="3"/>
        <v>6.7749266862170092</v>
      </c>
      <c r="S38" s="21"/>
    </row>
    <row r="39" spans="2:19">
      <c r="B39" s="21" t="s">
        <v>84</v>
      </c>
      <c r="C39" s="21" t="s">
        <v>238</v>
      </c>
      <c r="D39" s="70" t="s">
        <v>252</v>
      </c>
      <c r="F39" s="28">
        <f>VLOOKUP($B39,'Unify Report'!$A$2:$V$97,19,FALSE)</f>
        <v>4307.5</v>
      </c>
      <c r="G39" s="29">
        <f>VLOOKUP($B39,'Unify Report'!$A$2:$V$97,20,FALSE)</f>
        <v>4636.5</v>
      </c>
      <c r="H39" s="94">
        <f t="shared" si="4"/>
        <v>0.92904130270678309</v>
      </c>
      <c r="I39" s="91">
        <f t="shared" si="5"/>
        <v>-329</v>
      </c>
      <c r="J39" s="3"/>
      <c r="K39" s="51">
        <f>VLOOKUP($D39,Beddays_Data!$C$2:$E$99,2,FALSE)</f>
        <v>382</v>
      </c>
      <c r="L39" s="30">
        <f>VLOOKUP($D39,Beddays_Data!$C$2:$E$99,3,FALSE)</f>
        <v>496</v>
      </c>
      <c r="M39" s="28">
        <f t="shared" si="0"/>
        <v>12.32258064516129</v>
      </c>
      <c r="N39" s="30">
        <f t="shared" si="1"/>
        <v>16</v>
      </c>
      <c r="O39" s="3"/>
      <c r="P39" s="31">
        <f t="shared" si="2"/>
        <v>11.276178010471204</v>
      </c>
      <c r="Q39" s="32">
        <f t="shared" si="3"/>
        <v>8.6844758064516121</v>
      </c>
      <c r="S39" s="21"/>
    </row>
    <row r="40" spans="2:19">
      <c r="B40" s="21" t="s">
        <v>85</v>
      </c>
      <c r="C40" s="21" t="s">
        <v>239</v>
      </c>
      <c r="D40" s="70" t="s">
        <v>251</v>
      </c>
      <c r="F40" s="28">
        <f>VLOOKUP($B40,'Unify Report'!$A$2:$V$97,19,FALSE)</f>
        <v>4036.5</v>
      </c>
      <c r="G40" s="29">
        <f>VLOOKUP($B40,'Unify Report'!$A$2:$V$97,20,FALSE)</f>
        <v>4266.5</v>
      </c>
      <c r="H40" s="94">
        <f t="shared" si="4"/>
        <v>0.9460916442048517</v>
      </c>
      <c r="I40" s="91">
        <f t="shared" si="5"/>
        <v>-230</v>
      </c>
      <c r="J40" s="3"/>
      <c r="K40" s="51">
        <f>VLOOKUP($D40,Beddays_Data!$C$2:$E$99,2,FALSE)</f>
        <v>234</v>
      </c>
      <c r="L40" s="30">
        <f>VLOOKUP($D40,Beddays_Data!$C$2:$E$99,3,FALSE)</f>
        <v>310</v>
      </c>
      <c r="M40" s="28">
        <f t="shared" si="0"/>
        <v>7.5483870967741939</v>
      </c>
      <c r="N40" s="30">
        <f t="shared" si="1"/>
        <v>10</v>
      </c>
      <c r="O40" s="3"/>
      <c r="P40" s="31">
        <f t="shared" si="2"/>
        <v>17.25</v>
      </c>
      <c r="Q40" s="32">
        <f t="shared" si="3"/>
        <v>13.020967741935484</v>
      </c>
      <c r="S40" s="21"/>
    </row>
    <row r="41" spans="2:19">
      <c r="B41" s="21" t="s">
        <v>86</v>
      </c>
      <c r="C41" s="21" t="s">
        <v>240</v>
      </c>
      <c r="D41" s="70" t="s">
        <v>254</v>
      </c>
      <c r="F41" s="28">
        <f>VLOOKUP($B41,'Unify Report'!$A$2:$V$97,19,FALSE)</f>
        <v>4943.75</v>
      </c>
      <c r="G41" s="29">
        <f>VLOOKUP($B41,'Unify Report'!$A$2:$V$97,20,FALSE)</f>
        <v>5315.5</v>
      </c>
      <c r="H41" s="94">
        <f t="shared" si="4"/>
        <v>0.93006302323393852</v>
      </c>
      <c r="I41" s="91">
        <f t="shared" si="5"/>
        <v>-371.75</v>
      </c>
      <c r="J41" s="3"/>
      <c r="K41" s="51">
        <f>VLOOKUP($D41,Beddays_Data!$C$2:$E$99,2,FALSE)</f>
        <v>383</v>
      </c>
      <c r="L41" s="30">
        <f>VLOOKUP($D41,Beddays_Data!$C$2:$E$99,3,FALSE)</f>
        <v>496</v>
      </c>
      <c r="M41" s="28">
        <f t="shared" si="0"/>
        <v>12.35483870967742</v>
      </c>
      <c r="N41" s="30">
        <f t="shared" si="1"/>
        <v>16</v>
      </c>
      <c r="O41" s="3"/>
      <c r="P41" s="31">
        <f t="shared" si="2"/>
        <v>12.907963446475195</v>
      </c>
      <c r="Q41" s="32">
        <f t="shared" si="3"/>
        <v>9.9672379032258061</v>
      </c>
      <c r="S41" s="21"/>
    </row>
    <row r="42" spans="2:19">
      <c r="B42" s="21" t="s">
        <v>87</v>
      </c>
      <c r="C42" s="21" t="s">
        <v>241</v>
      </c>
      <c r="D42" s="70" t="s">
        <v>247</v>
      </c>
      <c r="F42" s="28">
        <f>VLOOKUP($B42,'Unify Report'!$A$2:$V$97,19,FALSE)</f>
        <v>3939.666666666667</v>
      </c>
      <c r="G42" s="29">
        <f>VLOOKUP($B42,'Unify Report'!$A$2:$V$97,20,FALSE)</f>
        <v>3561.5</v>
      </c>
      <c r="H42" s="94">
        <f t="shared" si="4"/>
        <v>1.1061818522158267</v>
      </c>
      <c r="I42" s="91">
        <f t="shared" si="5"/>
        <v>378.16666666666697</v>
      </c>
      <c r="J42" s="3"/>
      <c r="K42" s="51">
        <f>VLOOKUP($D42,Beddays_Data!$C$2:$E$99,2,FALSE)</f>
        <v>388</v>
      </c>
      <c r="L42" s="30">
        <f>VLOOKUP($D42,Beddays_Data!$C$2:$E$99,3,FALSE)</f>
        <v>434</v>
      </c>
      <c r="M42" s="28">
        <f t="shared" si="0"/>
        <v>12.516129032258064</v>
      </c>
      <c r="N42" s="30">
        <f t="shared" si="1"/>
        <v>14</v>
      </c>
      <c r="O42" s="3"/>
      <c r="P42" s="31">
        <f t="shared" si="2"/>
        <v>10.153780068728523</v>
      </c>
      <c r="Q42" s="32">
        <f t="shared" si="3"/>
        <v>9.0775729646697396</v>
      </c>
      <c r="S42" s="21"/>
    </row>
    <row r="43" spans="2:19">
      <c r="B43" s="21" t="s">
        <v>88</v>
      </c>
      <c r="C43" s="21" t="s">
        <v>242</v>
      </c>
      <c r="D43" s="70" t="s">
        <v>255</v>
      </c>
      <c r="F43" s="28">
        <f>VLOOKUP($B43,'Unify Report'!$A$2:$V$97,19,FALSE)</f>
        <v>2150.5</v>
      </c>
      <c r="G43" s="29">
        <f>VLOOKUP($B43,'Unify Report'!$A$2:$V$97,20,FALSE)</f>
        <v>2129</v>
      </c>
      <c r="H43" s="94">
        <f t="shared" si="4"/>
        <v>1.0100986378581494</v>
      </c>
      <c r="I43" s="91">
        <f t="shared" si="5"/>
        <v>21.5</v>
      </c>
      <c r="J43" s="3"/>
      <c r="K43" s="51">
        <f>VLOOKUP($D43,Beddays_Data!$C$2:$E$99,2,FALSE)</f>
        <v>192</v>
      </c>
      <c r="L43" s="30">
        <f>VLOOKUP($D43,Beddays_Data!$C$2:$E$99,3,FALSE)</f>
        <v>279</v>
      </c>
      <c r="M43" s="28">
        <f t="shared" si="0"/>
        <v>6.193548387096774</v>
      </c>
      <c r="N43" s="30">
        <f t="shared" si="1"/>
        <v>9</v>
      </c>
      <c r="O43" s="3"/>
      <c r="P43" s="31">
        <f t="shared" si="2"/>
        <v>11.200520833333334</v>
      </c>
      <c r="Q43" s="32">
        <f t="shared" si="3"/>
        <v>7.7078853046594986</v>
      </c>
      <c r="S43" s="21"/>
    </row>
    <row r="44" spans="2:19">
      <c r="B44" s="21" t="s">
        <v>89</v>
      </c>
      <c r="C44" s="21" t="s">
        <v>243</v>
      </c>
      <c r="D44" s="70" t="s">
        <v>256</v>
      </c>
      <c r="F44" s="28">
        <f>VLOOKUP($B44,'Unify Report'!$A$2:$V$97,19,FALSE)</f>
        <v>5536.75</v>
      </c>
      <c r="G44" s="29">
        <f>VLOOKUP($B44,'Unify Report'!$A$2:$V$97,20,FALSE)</f>
        <v>5704</v>
      </c>
      <c r="H44" s="94">
        <f t="shared" si="4"/>
        <v>0.9706784712482468</v>
      </c>
      <c r="I44" s="91">
        <f t="shared" si="5"/>
        <v>-167.25</v>
      </c>
      <c r="J44" s="3"/>
      <c r="K44" s="51">
        <f>VLOOKUP($D44,Beddays_Data!$C$2:$E$99,2,FALSE)</f>
        <v>524</v>
      </c>
      <c r="L44" s="30">
        <f>VLOOKUP($D44,Beddays_Data!$C$2:$E$99,3,FALSE)</f>
        <v>620</v>
      </c>
      <c r="M44" s="28">
        <f t="shared" si="0"/>
        <v>16.903225806451612</v>
      </c>
      <c r="N44" s="30">
        <f t="shared" si="1"/>
        <v>20</v>
      </c>
      <c r="O44" s="3"/>
      <c r="P44" s="31">
        <f t="shared" si="2"/>
        <v>10.566316793893129</v>
      </c>
      <c r="Q44" s="32">
        <f t="shared" si="3"/>
        <v>8.9302419354838705</v>
      </c>
      <c r="S44" s="21"/>
    </row>
    <row r="45" spans="2:19">
      <c r="B45" s="21" t="s">
        <v>90</v>
      </c>
      <c r="C45" s="21" t="s">
        <v>36</v>
      </c>
      <c r="D45" s="21" t="s">
        <v>124</v>
      </c>
      <c r="F45" s="28">
        <f>VLOOKUP($B45,'Unify Report'!$A$2:$V$97,19,FALSE)</f>
        <v>1186.5</v>
      </c>
      <c r="G45" s="29">
        <f>VLOOKUP($B45,'Unify Report'!$A$2:$V$97,20,FALSE)</f>
        <v>1546.5</v>
      </c>
      <c r="H45" s="94">
        <f t="shared" si="4"/>
        <v>0.76721629485935983</v>
      </c>
      <c r="I45" s="91">
        <f t="shared" si="5"/>
        <v>-360</v>
      </c>
      <c r="J45" s="3"/>
      <c r="K45" s="51">
        <f>VLOOKUP($D45,Beddays_Data!$C$2:$E$99,2,FALSE)</f>
        <v>27</v>
      </c>
      <c r="L45" s="30">
        <f>VLOOKUP($D45,Beddays_Data!$C$2:$E$99,3,FALSE)</f>
        <v>124</v>
      </c>
      <c r="M45" s="28">
        <f t="shared" si="0"/>
        <v>0.87096774193548387</v>
      </c>
      <c r="N45" s="30">
        <f t="shared" si="1"/>
        <v>4</v>
      </c>
      <c r="O45" s="3"/>
      <c r="P45" s="31">
        <f t="shared" si="2"/>
        <v>43.944444444444443</v>
      </c>
      <c r="Q45" s="32">
        <f t="shared" si="3"/>
        <v>9.568548387096774</v>
      </c>
      <c r="S45" s="21"/>
    </row>
    <row r="46" spans="2:19">
      <c r="B46" s="70" t="s">
        <v>91</v>
      </c>
      <c r="C46" s="21" t="s">
        <v>35</v>
      </c>
      <c r="D46" s="22" t="s">
        <v>125</v>
      </c>
      <c r="F46" s="28">
        <f>VLOOKUP($B46,'Unify Report'!$A$2:$V$97,19,FALSE)</f>
        <v>6096</v>
      </c>
      <c r="G46" s="29">
        <f>VLOOKUP($B46,'Unify Report'!$A$2:$V$97,20,FALSE)</f>
        <v>7284.5</v>
      </c>
      <c r="H46" s="94">
        <f t="shared" si="4"/>
        <v>0.83684535657903769</v>
      </c>
      <c r="I46" s="91">
        <f t="shared" si="5"/>
        <v>-1188.5</v>
      </c>
      <c r="J46" s="3"/>
      <c r="K46" s="51">
        <f>VLOOKUP($D46,Beddays_Data!$C$2:$E$99,2,FALSE)</f>
        <v>912</v>
      </c>
      <c r="L46" s="30">
        <f>VLOOKUP($D46,Beddays_Data!$C$2:$E$99,3,FALSE)</f>
        <v>1178</v>
      </c>
      <c r="M46" s="28">
        <f t="shared" si="0"/>
        <v>29.419354838709676</v>
      </c>
      <c r="N46" s="30">
        <f t="shared" si="1"/>
        <v>38</v>
      </c>
      <c r="O46" s="3"/>
      <c r="P46" s="31">
        <f t="shared" si="2"/>
        <v>6.6842105263157894</v>
      </c>
      <c r="Q46" s="32">
        <f t="shared" si="3"/>
        <v>5.1748726655348047</v>
      </c>
      <c r="S46" s="21"/>
    </row>
    <row r="47" spans="2:19">
      <c r="B47" s="21" t="s">
        <v>92</v>
      </c>
      <c r="C47" s="21" t="s">
        <v>38</v>
      </c>
      <c r="D47" s="22" t="s">
        <v>126</v>
      </c>
      <c r="F47" s="28">
        <f>VLOOKUP($B47,'Unify Report'!$A$2:$V$97,19,FALSE)</f>
        <v>11855.25</v>
      </c>
      <c r="G47" s="29">
        <f>VLOOKUP($B47,'Unify Report'!$A$2:$V$97,20,FALSE)</f>
        <v>14768.5</v>
      </c>
      <c r="H47" s="94">
        <f t="shared" si="4"/>
        <v>0.80273893760368353</v>
      </c>
      <c r="I47" s="91">
        <f t="shared" si="5"/>
        <v>-2913.25</v>
      </c>
      <c r="J47" s="3"/>
      <c r="K47" s="51">
        <f>VLOOKUP($D47,Beddays_Data!$C$2:$E$99,2,FALSE)</f>
        <v>832</v>
      </c>
      <c r="L47" s="30">
        <f>VLOOKUP($D47,Beddays_Data!$C$2:$E$99,3,FALSE)</f>
        <v>961</v>
      </c>
      <c r="M47" s="28">
        <f t="shared" si="0"/>
        <v>26.838709677419356</v>
      </c>
      <c r="N47" s="30">
        <f t="shared" si="1"/>
        <v>31</v>
      </c>
      <c r="O47" s="3"/>
      <c r="P47" s="31">
        <f t="shared" si="2"/>
        <v>14.249098557692308</v>
      </c>
      <c r="Q47" s="32">
        <f t="shared" si="3"/>
        <v>12.33636836628512</v>
      </c>
      <c r="S47" s="21"/>
    </row>
    <row r="48" spans="2:19">
      <c r="B48" s="21" t="s">
        <v>93</v>
      </c>
      <c r="C48" s="21" t="s">
        <v>33</v>
      </c>
      <c r="D48" s="22" t="s">
        <v>127</v>
      </c>
      <c r="F48" s="28">
        <f>VLOOKUP($B48,'Unify Report'!$A$2:$V$97,19,FALSE)</f>
        <v>2646</v>
      </c>
      <c r="G48" s="29">
        <f>VLOOKUP($B48,'Unify Report'!$A$2:$V$97,20,FALSE)</f>
        <v>3159.5</v>
      </c>
      <c r="H48" s="94">
        <f t="shared" si="4"/>
        <v>0.83747428390568124</v>
      </c>
      <c r="I48" s="91">
        <f t="shared" si="5"/>
        <v>-513.5</v>
      </c>
      <c r="J48" s="3"/>
      <c r="K48" s="51">
        <f>VLOOKUP($D48,Beddays_Data!$C$2:$E$99,2,FALSE)</f>
        <v>247</v>
      </c>
      <c r="L48" s="30">
        <f>VLOOKUP($D48,Beddays_Data!$C$2:$E$99,3,FALSE)</f>
        <v>496</v>
      </c>
      <c r="M48" s="28">
        <f t="shared" si="0"/>
        <v>7.967741935483871</v>
      </c>
      <c r="N48" s="30">
        <f t="shared" si="1"/>
        <v>16</v>
      </c>
      <c r="O48" s="3"/>
      <c r="P48" s="31">
        <f t="shared" si="2"/>
        <v>10.712550607287449</v>
      </c>
      <c r="Q48" s="32">
        <f t="shared" si="3"/>
        <v>5.334677419354839</v>
      </c>
      <c r="S48" s="21"/>
    </row>
    <row r="49" spans="2:19">
      <c r="B49" s="21" t="s">
        <v>94</v>
      </c>
      <c r="C49" s="21" t="s">
        <v>34</v>
      </c>
      <c r="D49" s="22" t="s">
        <v>128</v>
      </c>
      <c r="F49" s="28">
        <f>VLOOKUP($B49,'Unify Report'!$A$2:$V$97,19,FALSE)</f>
        <v>7896.05</v>
      </c>
      <c r="G49" s="29">
        <f>VLOOKUP($B49,'Unify Report'!$A$2:$V$97,20,FALSE)</f>
        <v>8634.25</v>
      </c>
      <c r="H49" s="94">
        <f t="shared" si="4"/>
        <v>0.91450328633060196</v>
      </c>
      <c r="I49" s="91">
        <f t="shared" si="5"/>
        <v>-738.19999999999982</v>
      </c>
      <c r="J49" s="3"/>
      <c r="K49" s="51">
        <f>VLOOKUP($D49,Beddays_Data!$C$2:$E$99,2,FALSE)</f>
        <v>259</v>
      </c>
      <c r="L49" s="30">
        <f>VLOOKUP($D49,Beddays_Data!$C$2:$E$99,3,FALSE)</f>
        <v>434</v>
      </c>
      <c r="M49" s="28">
        <f t="shared" si="0"/>
        <v>8.3548387096774199</v>
      </c>
      <c r="N49" s="30">
        <f t="shared" si="1"/>
        <v>14</v>
      </c>
      <c r="O49" s="3"/>
      <c r="P49" s="31">
        <f t="shared" si="2"/>
        <v>30.486679536679539</v>
      </c>
      <c r="Q49" s="32">
        <f t="shared" si="3"/>
        <v>18.193663594470046</v>
      </c>
      <c r="S49" s="21"/>
    </row>
    <row r="50" spans="2:19">
      <c r="B50" s="21" t="s">
        <v>95</v>
      </c>
      <c r="C50" s="21" t="s">
        <v>37</v>
      </c>
      <c r="D50" s="22" t="s">
        <v>129</v>
      </c>
      <c r="F50" s="28">
        <f>VLOOKUP($B50,'Unify Report'!$A$2:$V$97,19,FALSE)</f>
        <v>3455.166666666667</v>
      </c>
      <c r="G50" s="29">
        <f>VLOOKUP($B50,'Unify Report'!$A$2:$V$97,20,FALSE)</f>
        <v>3715.75</v>
      </c>
      <c r="H50" s="94">
        <f t="shared" si="4"/>
        <v>0.92987059588687804</v>
      </c>
      <c r="I50" s="91">
        <f t="shared" si="5"/>
        <v>-260.58333333333303</v>
      </c>
      <c r="J50" s="3"/>
      <c r="K50" s="51">
        <f>VLOOKUP($D50,Beddays_Data!$C$2:$E$99,2,FALSE)</f>
        <v>400</v>
      </c>
      <c r="L50" s="30">
        <f>VLOOKUP($D50,Beddays_Data!$C$2:$E$99,3,FALSE)</f>
        <v>682</v>
      </c>
      <c r="M50" s="28">
        <f t="shared" si="0"/>
        <v>12.903225806451612</v>
      </c>
      <c r="N50" s="30">
        <f t="shared" si="1"/>
        <v>22</v>
      </c>
      <c r="O50" s="3"/>
      <c r="P50" s="31">
        <f t="shared" si="2"/>
        <v>8.6379166666666674</v>
      </c>
      <c r="Q50" s="32">
        <f t="shared" si="3"/>
        <v>5.0662267839687196</v>
      </c>
      <c r="S50" s="21"/>
    </row>
    <row r="51" spans="2:19" s="5" customFormat="1">
      <c r="B51" s="33" t="s">
        <v>156</v>
      </c>
      <c r="C51" s="35"/>
      <c r="D51" s="36"/>
      <c r="F51" s="37">
        <f>SUM(F36:F50)</f>
        <v>81661.8</v>
      </c>
      <c r="G51" s="38">
        <f>SUM(G36:G50)</f>
        <v>91164.083333333343</v>
      </c>
      <c r="H51" s="95">
        <f t="shared" si="4"/>
        <v>0.89576724751798265</v>
      </c>
      <c r="I51" s="92">
        <f t="shared" si="5"/>
        <v>-9502.2833333333401</v>
      </c>
      <c r="J51" s="18"/>
      <c r="K51" s="47">
        <f>SUM(K36:K50)</f>
        <v>6303</v>
      </c>
      <c r="L51" s="39">
        <f>SUM(L36:L50)</f>
        <v>8742</v>
      </c>
      <c r="M51" s="37">
        <f t="shared" si="0"/>
        <v>203.32258064516128</v>
      </c>
      <c r="N51" s="39">
        <f t="shared" si="1"/>
        <v>282</v>
      </c>
      <c r="O51" s="18"/>
      <c r="P51" s="40">
        <f t="shared" si="2"/>
        <v>12.956020942408378</v>
      </c>
      <c r="Q51" s="41">
        <f t="shared" si="3"/>
        <v>9.3413177762525734</v>
      </c>
      <c r="S51" s="121"/>
    </row>
    <row r="52" spans="2:19" s="5" customFormat="1" ht="15.75">
      <c r="B52" s="42" t="s">
        <v>157</v>
      </c>
      <c r="C52" s="43"/>
      <c r="D52" s="44"/>
      <c r="E52" s="34"/>
      <c r="F52" s="45">
        <f>F51+F35+F27+F19</f>
        <v>238140.45</v>
      </c>
      <c r="G52" s="46">
        <f>G51+G35+G27+G19</f>
        <v>241691.90000000002</v>
      </c>
      <c r="H52" s="96">
        <f t="shared" si="4"/>
        <v>0.98530587909648604</v>
      </c>
      <c r="I52" s="93">
        <f t="shared" si="5"/>
        <v>-3551.4500000000116</v>
      </c>
      <c r="J52" s="49"/>
      <c r="K52" s="52">
        <f>K51+K35+K27+K19</f>
        <v>24682</v>
      </c>
      <c r="L52" s="46">
        <f>L51+L35+L27+L19</f>
        <v>28272</v>
      </c>
      <c r="M52" s="45">
        <f>M51+M35+M27+M19</f>
        <v>796.19354838709683</v>
      </c>
      <c r="N52" s="53">
        <f>N51+N35+N27+N19</f>
        <v>912</v>
      </c>
      <c r="O52" s="49"/>
      <c r="P52" s="54">
        <f t="shared" si="2"/>
        <v>9.6483449477351915</v>
      </c>
      <c r="Q52" s="50">
        <f t="shared" si="3"/>
        <v>8.4231907894736846</v>
      </c>
      <c r="S52" s="19"/>
    </row>
  </sheetData>
  <mergeCells count="5">
    <mergeCell ref="P4:Q4"/>
    <mergeCell ref="M4:N4"/>
    <mergeCell ref="K4:L4"/>
    <mergeCell ref="F4:I4"/>
    <mergeCell ref="S4:S5"/>
  </mergeCells>
  <printOptions horizontalCentered="1"/>
  <pageMargins left="0.70866141732283472" right="0.70866141732283472" top="0.43307086614173229" bottom="0.47244094488188981" header="0.31496062992125984" footer="0.31496062992125984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workbookViewId="0">
      <pane ySplit="1" topLeftCell="A2" activePane="bottomLeft" state="frozenSplit"/>
      <selection pane="bottomLeft" activeCell="A2" sqref="A2"/>
    </sheetView>
  </sheetViews>
  <sheetFormatPr defaultRowHeight="15"/>
  <cols>
    <col min="2" max="2" width="47.85546875" bestFit="1" customWidth="1"/>
    <col min="3" max="4" width="10.7109375" style="2" customWidth="1"/>
    <col min="5" max="5" width="10.7109375" style="4" customWidth="1"/>
    <col min="6" max="8" width="10.7109375" style="2" customWidth="1"/>
    <col min="9" max="9" width="10.7109375" style="4" customWidth="1"/>
    <col min="10" max="10" width="10.7109375" style="3" customWidth="1"/>
    <col min="11" max="12" width="10.7109375" style="2" customWidth="1"/>
    <col min="13" max="13" width="10.7109375" style="3" customWidth="1"/>
    <col min="14" max="16" width="10.7109375" style="2" customWidth="1"/>
    <col min="17" max="17" width="10.7109375" style="3" customWidth="1"/>
    <col min="18" max="18" width="10.7109375" style="2" customWidth="1"/>
    <col min="19" max="20" width="10.7109375" style="71" customWidth="1"/>
    <col min="21" max="21" width="10.7109375" style="72" customWidth="1"/>
    <col min="22" max="22" width="10.7109375" style="71" customWidth="1"/>
  </cols>
  <sheetData>
    <row r="1" spans="1:22" s="1" customFormat="1" ht="60">
      <c r="A1" s="1" t="s">
        <v>53</v>
      </c>
      <c r="B1" s="6" t="s">
        <v>0</v>
      </c>
      <c r="C1" s="7" t="s">
        <v>2</v>
      </c>
      <c r="D1" s="7" t="s">
        <v>1</v>
      </c>
      <c r="E1" s="8" t="s">
        <v>9</v>
      </c>
      <c r="F1" s="11" t="s">
        <v>45</v>
      </c>
      <c r="G1" s="99" t="s">
        <v>4</v>
      </c>
      <c r="H1" s="7" t="s">
        <v>3</v>
      </c>
      <c r="I1" s="8" t="s">
        <v>10</v>
      </c>
      <c r="J1" s="9" t="s">
        <v>45</v>
      </c>
      <c r="K1" s="99" t="s">
        <v>6</v>
      </c>
      <c r="L1" s="7" t="s">
        <v>5</v>
      </c>
      <c r="M1" s="10" t="s">
        <v>11</v>
      </c>
      <c r="N1" s="11" t="s">
        <v>45</v>
      </c>
      <c r="O1" s="99" t="s">
        <v>8</v>
      </c>
      <c r="P1" s="7" t="s">
        <v>7</v>
      </c>
      <c r="Q1" s="10" t="s">
        <v>12</v>
      </c>
      <c r="R1" s="11" t="s">
        <v>45</v>
      </c>
      <c r="S1" s="78" t="s">
        <v>46</v>
      </c>
      <c r="T1" s="79" t="s">
        <v>47</v>
      </c>
      <c r="U1" s="80" t="s">
        <v>48</v>
      </c>
      <c r="V1" s="81" t="s">
        <v>49</v>
      </c>
    </row>
    <row r="2" spans="1:22">
      <c r="A2" t="str">
        <f>RIGHT(B2,6)</f>
        <v>127809</v>
      </c>
      <c r="B2" s="21" t="s">
        <v>20</v>
      </c>
      <c r="C2" s="61">
        <v>2431.6666666666665</v>
      </c>
      <c r="D2" s="61">
        <v>2621.1666666666665</v>
      </c>
      <c r="E2" s="62">
        <v>0.92770394862338657</v>
      </c>
      <c r="F2" s="106">
        <v>-189.5</v>
      </c>
      <c r="G2" s="100">
        <v>1952.9166666666667</v>
      </c>
      <c r="H2" s="61">
        <v>1867</v>
      </c>
      <c r="I2" s="62">
        <v>1.0460185681128369</v>
      </c>
      <c r="J2" s="106">
        <v>85.916666666666742</v>
      </c>
      <c r="K2" s="100">
        <v>2332.5</v>
      </c>
      <c r="L2" s="61">
        <v>2386.5</v>
      </c>
      <c r="M2" s="62">
        <v>0.97737272155876809</v>
      </c>
      <c r="N2" s="106">
        <v>-54</v>
      </c>
      <c r="O2" s="100">
        <v>1897.5</v>
      </c>
      <c r="P2" s="61">
        <v>1705</v>
      </c>
      <c r="Q2" s="62">
        <v>1.1129032258064515</v>
      </c>
      <c r="R2" s="106">
        <v>192.5</v>
      </c>
      <c r="S2" s="103">
        <f>O2+K2+G2+C2</f>
        <v>8614.5833333333339</v>
      </c>
      <c r="T2" s="82">
        <f>P2+L2+H2+D2</f>
        <v>8579.6666666666661</v>
      </c>
      <c r="U2" s="83">
        <f>S2/T2</f>
        <v>1.0040696996775322</v>
      </c>
      <c r="V2" s="82">
        <f>S2-T2</f>
        <v>34.916666666667879</v>
      </c>
    </row>
    <row r="3" spans="1:22">
      <c r="A3" t="str">
        <f t="shared" ref="A3:A47" si="0">RIGHT(B3,6)</f>
        <v>127808</v>
      </c>
      <c r="B3" s="21" t="s">
        <v>19</v>
      </c>
      <c r="C3" s="61">
        <v>1993.3333333333333</v>
      </c>
      <c r="D3" s="61">
        <v>2247.8333333333298</v>
      </c>
      <c r="E3" s="62">
        <v>0.88677986208942072</v>
      </c>
      <c r="F3" s="106">
        <v>-254.49999999999659</v>
      </c>
      <c r="G3" s="100">
        <v>2098.75</v>
      </c>
      <c r="H3" s="61">
        <v>1850.75</v>
      </c>
      <c r="I3" s="62">
        <v>1.1339997298392543</v>
      </c>
      <c r="J3" s="106">
        <v>248</v>
      </c>
      <c r="K3" s="100">
        <v>1684</v>
      </c>
      <c r="L3" s="61">
        <v>1705</v>
      </c>
      <c r="M3" s="62">
        <v>0.98768328445747799</v>
      </c>
      <c r="N3" s="106">
        <v>-21</v>
      </c>
      <c r="O3" s="100">
        <v>1661.5</v>
      </c>
      <c r="P3" s="61">
        <v>1364</v>
      </c>
      <c r="Q3" s="62">
        <v>1.2181085043988269</v>
      </c>
      <c r="R3" s="106">
        <v>297.5</v>
      </c>
      <c r="S3" s="103">
        <f t="shared" ref="S3:S48" si="1">O3+K3+G3+C3</f>
        <v>7437.583333333333</v>
      </c>
      <c r="T3" s="82">
        <f t="shared" ref="T3:T48" si="2">P3+L3+H3+D3</f>
        <v>7167.5833333333303</v>
      </c>
      <c r="U3" s="83">
        <f t="shared" ref="U3:U48" si="3">S3/T3</f>
        <v>1.0376696003999493</v>
      </c>
      <c r="V3" s="82">
        <f t="shared" ref="V3:V48" si="4">S3-T3</f>
        <v>270.00000000000273</v>
      </c>
    </row>
    <row r="4" spans="1:22">
      <c r="A4" t="str">
        <f t="shared" si="0"/>
        <v>109008</v>
      </c>
      <c r="B4" s="21" t="s">
        <v>13</v>
      </c>
      <c r="C4" s="61">
        <v>1688.5</v>
      </c>
      <c r="D4" s="61">
        <v>1865.5</v>
      </c>
      <c r="E4" s="62">
        <v>0.90511927097292955</v>
      </c>
      <c r="F4" s="106">
        <v>-177</v>
      </c>
      <c r="G4" s="100">
        <v>1180.9166666666667</v>
      </c>
      <c r="H4" s="61">
        <v>1110.75</v>
      </c>
      <c r="I4" s="62">
        <v>1.0631705304223873</v>
      </c>
      <c r="J4" s="106">
        <v>70.166666666666742</v>
      </c>
      <c r="K4" s="100">
        <v>1452</v>
      </c>
      <c r="L4" s="61">
        <v>1364</v>
      </c>
      <c r="M4" s="62">
        <v>1.064516129032258</v>
      </c>
      <c r="N4" s="106">
        <v>88</v>
      </c>
      <c r="O4" s="100">
        <v>1199</v>
      </c>
      <c r="P4" s="61">
        <v>1023</v>
      </c>
      <c r="Q4" s="62">
        <v>1.1720430107526882</v>
      </c>
      <c r="R4" s="106">
        <v>176</v>
      </c>
      <c r="S4" s="103">
        <f t="shared" si="1"/>
        <v>5520.416666666667</v>
      </c>
      <c r="T4" s="82">
        <f t="shared" si="2"/>
        <v>5363.25</v>
      </c>
      <c r="U4" s="83">
        <f t="shared" si="3"/>
        <v>1.0293043707950715</v>
      </c>
      <c r="V4" s="82">
        <f t="shared" si="4"/>
        <v>157.16666666666697</v>
      </c>
    </row>
    <row r="5" spans="1:22">
      <c r="A5" t="str">
        <f t="shared" si="0"/>
        <v>127810</v>
      </c>
      <c r="B5" s="21" t="s">
        <v>18</v>
      </c>
      <c r="C5" s="61">
        <v>1072.75</v>
      </c>
      <c r="D5" s="61">
        <v>1120.25</v>
      </c>
      <c r="E5" s="62">
        <v>0.95759875027895558</v>
      </c>
      <c r="F5" s="106">
        <v>-47.5</v>
      </c>
      <c r="G5" s="100">
        <v>844.75</v>
      </c>
      <c r="H5" s="61">
        <v>740.25</v>
      </c>
      <c r="I5" s="62">
        <v>1.1411685241472476</v>
      </c>
      <c r="J5" s="106">
        <v>104.5</v>
      </c>
      <c r="K5" s="100">
        <v>682</v>
      </c>
      <c r="L5" s="61">
        <v>682</v>
      </c>
      <c r="M5" s="62">
        <v>1</v>
      </c>
      <c r="N5" s="106">
        <v>0</v>
      </c>
      <c r="O5" s="100">
        <v>825</v>
      </c>
      <c r="P5" s="61">
        <v>682</v>
      </c>
      <c r="Q5" s="62">
        <v>1.2096774193548387</v>
      </c>
      <c r="R5" s="106">
        <v>143</v>
      </c>
      <c r="S5" s="103">
        <f t="shared" si="1"/>
        <v>3424.5</v>
      </c>
      <c r="T5" s="82">
        <f t="shared" si="2"/>
        <v>3224.5</v>
      </c>
      <c r="U5" s="83">
        <f t="shared" si="3"/>
        <v>1.0620251201736703</v>
      </c>
      <c r="V5" s="82">
        <f t="shared" si="4"/>
        <v>200</v>
      </c>
    </row>
    <row r="6" spans="1:22">
      <c r="A6" t="str">
        <f t="shared" si="0"/>
        <v>109011</v>
      </c>
      <c r="B6" s="21" t="s">
        <v>15</v>
      </c>
      <c r="C6" s="61">
        <v>1589.75</v>
      </c>
      <c r="D6" s="61">
        <v>1631.75</v>
      </c>
      <c r="E6" s="62">
        <v>0.9742607629845258</v>
      </c>
      <c r="F6" s="106">
        <v>-42</v>
      </c>
      <c r="G6" s="100">
        <v>1582.25</v>
      </c>
      <c r="H6" s="61">
        <v>1111.75</v>
      </c>
      <c r="I6" s="62">
        <v>1.4232066561727006</v>
      </c>
      <c r="J6" s="106">
        <v>470.5</v>
      </c>
      <c r="K6" s="100">
        <v>968</v>
      </c>
      <c r="L6" s="61">
        <v>1023</v>
      </c>
      <c r="M6" s="62">
        <v>0.94623655913978499</v>
      </c>
      <c r="N6" s="106">
        <v>-55</v>
      </c>
      <c r="O6" s="100">
        <v>1493.75</v>
      </c>
      <c r="P6" s="61">
        <v>1021</v>
      </c>
      <c r="Q6" s="62">
        <v>1.463026444662096</v>
      </c>
      <c r="R6" s="106">
        <v>472.75</v>
      </c>
      <c r="S6" s="103">
        <f t="shared" si="1"/>
        <v>5633.75</v>
      </c>
      <c r="T6" s="82">
        <f t="shared" si="2"/>
        <v>4787.5</v>
      </c>
      <c r="U6" s="83">
        <f t="shared" si="3"/>
        <v>1.1767624020887728</v>
      </c>
      <c r="V6" s="82">
        <f t="shared" si="4"/>
        <v>846.25</v>
      </c>
    </row>
    <row r="7" spans="1:22">
      <c r="A7" t="str">
        <f t="shared" si="0"/>
        <v>109012</v>
      </c>
      <c r="B7" s="21" t="s">
        <v>22</v>
      </c>
      <c r="C7" s="61">
        <v>1127.75</v>
      </c>
      <c r="D7" s="61">
        <v>1115.75</v>
      </c>
      <c r="E7" s="62">
        <v>1.0107550974680708</v>
      </c>
      <c r="F7" s="106">
        <v>12</v>
      </c>
      <c r="G7" s="100">
        <v>986.25</v>
      </c>
      <c r="H7" s="61">
        <v>929</v>
      </c>
      <c r="I7" s="62">
        <v>1.0616254036598494</v>
      </c>
      <c r="J7" s="106">
        <v>57.25</v>
      </c>
      <c r="K7" s="100">
        <v>1023</v>
      </c>
      <c r="L7" s="61">
        <v>1023</v>
      </c>
      <c r="M7" s="62">
        <v>1</v>
      </c>
      <c r="N7" s="106">
        <v>0</v>
      </c>
      <c r="O7" s="100">
        <v>539</v>
      </c>
      <c r="P7" s="61">
        <v>341</v>
      </c>
      <c r="Q7" s="62">
        <v>1.5806451612903225</v>
      </c>
      <c r="R7" s="106">
        <v>198</v>
      </c>
      <c r="S7" s="103">
        <f t="shared" si="1"/>
        <v>3676</v>
      </c>
      <c r="T7" s="82">
        <f t="shared" si="2"/>
        <v>3408.75</v>
      </c>
      <c r="U7" s="83">
        <f t="shared" si="3"/>
        <v>1.0784011734506784</v>
      </c>
      <c r="V7" s="82">
        <f t="shared" si="4"/>
        <v>267.25</v>
      </c>
    </row>
    <row r="8" spans="1:22">
      <c r="A8" t="str">
        <f t="shared" si="0"/>
        <v>127817</v>
      </c>
      <c r="B8" s="21" t="s">
        <v>23</v>
      </c>
      <c r="C8" s="61">
        <v>1583.25</v>
      </c>
      <c r="D8" s="61">
        <v>1483</v>
      </c>
      <c r="E8" s="62">
        <v>1.0675994605529333</v>
      </c>
      <c r="F8" s="106">
        <v>100.25</v>
      </c>
      <c r="G8" s="100">
        <v>741.25</v>
      </c>
      <c r="H8" s="61">
        <v>743.5</v>
      </c>
      <c r="I8" s="62">
        <v>0.99697377269670473</v>
      </c>
      <c r="J8" s="106">
        <v>-2.25</v>
      </c>
      <c r="K8" s="100">
        <v>1515.5</v>
      </c>
      <c r="L8" s="61">
        <v>1364</v>
      </c>
      <c r="M8" s="62">
        <v>1.1110703812316716</v>
      </c>
      <c r="N8" s="106">
        <v>151.5</v>
      </c>
      <c r="O8" s="100">
        <v>675.75</v>
      </c>
      <c r="P8" s="61">
        <v>682</v>
      </c>
      <c r="Q8" s="62">
        <v>0.99083577712609971</v>
      </c>
      <c r="R8" s="106">
        <v>-6.25</v>
      </c>
      <c r="S8" s="103">
        <f t="shared" si="1"/>
        <v>4515.75</v>
      </c>
      <c r="T8" s="82">
        <f t="shared" si="2"/>
        <v>4272.5</v>
      </c>
      <c r="U8" s="83">
        <f t="shared" si="3"/>
        <v>1.0569338794616734</v>
      </c>
      <c r="V8" s="82">
        <f t="shared" si="4"/>
        <v>243.25</v>
      </c>
    </row>
    <row r="9" spans="1:22">
      <c r="A9" t="str">
        <f t="shared" si="0"/>
        <v>109005</v>
      </c>
      <c r="B9" s="21" t="s">
        <v>16</v>
      </c>
      <c r="C9" s="61">
        <v>1202.5</v>
      </c>
      <c r="D9" s="61">
        <v>1120.25</v>
      </c>
      <c r="E9" s="62">
        <v>1.0734211113590717</v>
      </c>
      <c r="F9" s="106">
        <v>82.25</v>
      </c>
      <c r="G9" s="100">
        <v>1405.5</v>
      </c>
      <c r="H9" s="61">
        <v>1095</v>
      </c>
      <c r="I9" s="62">
        <v>1.2835616438356163</v>
      </c>
      <c r="J9" s="106">
        <v>310.5</v>
      </c>
      <c r="K9" s="100">
        <v>682</v>
      </c>
      <c r="L9" s="61">
        <v>682</v>
      </c>
      <c r="M9" s="62">
        <v>1</v>
      </c>
      <c r="N9" s="106">
        <v>0</v>
      </c>
      <c r="O9" s="100">
        <v>1436.5</v>
      </c>
      <c r="P9" s="61">
        <v>682</v>
      </c>
      <c r="Q9" s="62">
        <v>2.1063049853372435</v>
      </c>
      <c r="R9" s="106">
        <v>754.5</v>
      </c>
      <c r="S9" s="103">
        <f t="shared" si="1"/>
        <v>4726.5</v>
      </c>
      <c r="T9" s="82">
        <f t="shared" si="2"/>
        <v>3579.25</v>
      </c>
      <c r="U9" s="83">
        <f t="shared" si="3"/>
        <v>1.3205280435845499</v>
      </c>
      <c r="V9" s="82">
        <f t="shared" si="4"/>
        <v>1147.25</v>
      </c>
    </row>
    <row r="10" spans="1:22">
      <c r="A10" t="str">
        <f t="shared" si="0"/>
        <v>127811</v>
      </c>
      <c r="B10" s="21" t="s">
        <v>14</v>
      </c>
      <c r="C10" s="61">
        <v>739.25</v>
      </c>
      <c r="D10" s="61">
        <v>745.75</v>
      </c>
      <c r="E10" s="62">
        <v>0.99128394233992623</v>
      </c>
      <c r="F10" s="106">
        <v>-6.5</v>
      </c>
      <c r="G10" s="100">
        <v>1373.5</v>
      </c>
      <c r="H10" s="61">
        <v>1488</v>
      </c>
      <c r="I10" s="62">
        <v>0.92305107526881724</v>
      </c>
      <c r="J10" s="106">
        <v>-114.5</v>
      </c>
      <c r="K10" s="100">
        <v>681.75</v>
      </c>
      <c r="L10" s="61">
        <v>682</v>
      </c>
      <c r="M10" s="62">
        <v>0.99963343108504399</v>
      </c>
      <c r="N10" s="106">
        <v>-0.25</v>
      </c>
      <c r="O10" s="100">
        <v>770</v>
      </c>
      <c r="P10" s="61">
        <v>682</v>
      </c>
      <c r="Q10" s="62">
        <v>1.1290322580645162</v>
      </c>
      <c r="R10" s="106">
        <v>88</v>
      </c>
      <c r="S10" s="103">
        <f t="shared" si="1"/>
        <v>3564.5</v>
      </c>
      <c r="T10" s="82">
        <f t="shared" si="2"/>
        <v>3597.75</v>
      </c>
      <c r="U10" s="83">
        <f t="shared" si="3"/>
        <v>0.99075811270933223</v>
      </c>
      <c r="V10" s="82">
        <f t="shared" si="4"/>
        <v>-33.25</v>
      </c>
    </row>
    <row r="11" spans="1:22">
      <c r="A11" t="str">
        <f t="shared" si="0"/>
        <v>127807</v>
      </c>
      <c r="B11" s="21" t="s">
        <v>21</v>
      </c>
      <c r="C11" s="61">
        <v>1305.25</v>
      </c>
      <c r="D11" s="61">
        <v>1372.75</v>
      </c>
      <c r="E11" s="62">
        <v>0.95082862866508833</v>
      </c>
      <c r="F11" s="106">
        <v>-67.5</v>
      </c>
      <c r="G11" s="100">
        <v>1071</v>
      </c>
      <c r="H11" s="61">
        <v>1127.25</v>
      </c>
      <c r="I11" s="62">
        <v>0.95009980039920161</v>
      </c>
      <c r="J11" s="106">
        <v>-56.25</v>
      </c>
      <c r="K11" s="100">
        <v>1023</v>
      </c>
      <c r="L11" s="61">
        <v>1023</v>
      </c>
      <c r="M11" s="62">
        <v>1</v>
      </c>
      <c r="N11" s="106">
        <v>0</v>
      </c>
      <c r="O11" s="100">
        <v>682</v>
      </c>
      <c r="P11" s="61">
        <v>682</v>
      </c>
      <c r="Q11" s="62">
        <v>1</v>
      </c>
      <c r="R11" s="106">
        <v>0</v>
      </c>
      <c r="S11" s="103">
        <f t="shared" si="1"/>
        <v>4081.25</v>
      </c>
      <c r="T11" s="82">
        <f t="shared" si="2"/>
        <v>4205</v>
      </c>
      <c r="U11" s="83">
        <f t="shared" si="3"/>
        <v>0.97057074910820451</v>
      </c>
      <c r="V11" s="82">
        <f t="shared" si="4"/>
        <v>-123.75</v>
      </c>
    </row>
    <row r="12" spans="1:22">
      <c r="A12" t="str">
        <f t="shared" si="0"/>
        <v>127050</v>
      </c>
      <c r="B12" s="21" t="s">
        <v>24</v>
      </c>
      <c r="C12" s="61">
        <v>1604.25</v>
      </c>
      <c r="D12" s="61">
        <v>1504.5</v>
      </c>
      <c r="E12" s="62">
        <v>1.0663010967098705</v>
      </c>
      <c r="F12" s="106">
        <v>99.75</v>
      </c>
      <c r="G12" s="100">
        <v>1758.25</v>
      </c>
      <c r="H12" s="61">
        <v>1885.5</v>
      </c>
      <c r="I12" s="62">
        <v>0.93251127022010072</v>
      </c>
      <c r="J12" s="106">
        <v>-127.25</v>
      </c>
      <c r="K12" s="100">
        <v>825</v>
      </c>
      <c r="L12" s="61">
        <v>682</v>
      </c>
      <c r="M12" s="62">
        <v>1.2096774193548387</v>
      </c>
      <c r="N12" s="106">
        <v>143</v>
      </c>
      <c r="O12" s="100">
        <v>1213.25</v>
      </c>
      <c r="P12" s="61">
        <v>1023</v>
      </c>
      <c r="Q12" s="62">
        <v>1.1859726295210167</v>
      </c>
      <c r="R12" s="106">
        <v>190.25</v>
      </c>
      <c r="S12" s="103">
        <f t="shared" si="1"/>
        <v>5400.75</v>
      </c>
      <c r="T12" s="82">
        <f t="shared" si="2"/>
        <v>5095</v>
      </c>
      <c r="U12" s="83">
        <f t="shared" si="3"/>
        <v>1.060009813542689</v>
      </c>
      <c r="V12" s="82">
        <f t="shared" si="4"/>
        <v>305.75</v>
      </c>
    </row>
    <row r="13" spans="1:22">
      <c r="A13" t="str">
        <f t="shared" si="0"/>
        <v>127051</v>
      </c>
      <c r="B13" s="21" t="s">
        <v>25</v>
      </c>
      <c r="C13" s="61">
        <v>1610.1666666666667</v>
      </c>
      <c r="D13" s="61">
        <v>1503.5</v>
      </c>
      <c r="E13" s="62">
        <v>1.0709455714444074</v>
      </c>
      <c r="F13" s="106">
        <v>106.66666666666674</v>
      </c>
      <c r="G13" s="100">
        <v>1432.25</v>
      </c>
      <c r="H13" s="61">
        <v>1682.75</v>
      </c>
      <c r="I13" s="62">
        <v>0.85113653246174414</v>
      </c>
      <c r="J13" s="106">
        <v>-250.5</v>
      </c>
      <c r="K13" s="100">
        <v>879.58333333333337</v>
      </c>
      <c r="L13" s="61">
        <v>682</v>
      </c>
      <c r="M13" s="62">
        <v>1.289711632453568</v>
      </c>
      <c r="N13" s="106">
        <v>197.58333333333337</v>
      </c>
      <c r="O13" s="100">
        <v>1188</v>
      </c>
      <c r="P13" s="61">
        <v>1023</v>
      </c>
      <c r="Q13" s="62">
        <v>1.1612903225806452</v>
      </c>
      <c r="R13" s="106">
        <v>165</v>
      </c>
      <c r="S13" s="103">
        <f t="shared" si="1"/>
        <v>5110</v>
      </c>
      <c r="T13" s="82">
        <f t="shared" si="2"/>
        <v>4891.25</v>
      </c>
      <c r="U13" s="83">
        <f t="shared" si="3"/>
        <v>1.0447227191413238</v>
      </c>
      <c r="V13" s="82">
        <f t="shared" si="4"/>
        <v>218.75</v>
      </c>
    </row>
    <row r="14" spans="1:22">
      <c r="A14" t="str">
        <f t="shared" si="0"/>
        <v>125906</v>
      </c>
      <c r="B14" s="21" t="s">
        <v>17</v>
      </c>
      <c r="C14" s="61">
        <v>1397.3333333333333</v>
      </c>
      <c r="D14" s="61">
        <v>1414.5</v>
      </c>
      <c r="E14" s="63">
        <v>0.98786379168139504</v>
      </c>
      <c r="F14" s="106">
        <v>-17.166666666666742</v>
      </c>
      <c r="G14" s="100">
        <v>1911.25</v>
      </c>
      <c r="H14" s="61">
        <v>1220.75</v>
      </c>
      <c r="I14" s="62">
        <v>1.5656358795822241</v>
      </c>
      <c r="J14" s="106">
        <v>690.5</v>
      </c>
      <c r="K14" s="100">
        <v>1034</v>
      </c>
      <c r="L14" s="61">
        <v>1023</v>
      </c>
      <c r="M14" s="62">
        <v>1.010752688172043</v>
      </c>
      <c r="N14" s="106">
        <v>11</v>
      </c>
      <c r="O14" s="100">
        <v>1770.75</v>
      </c>
      <c r="P14" s="61">
        <v>1023</v>
      </c>
      <c r="Q14" s="62">
        <v>1.7309384164222874</v>
      </c>
      <c r="R14" s="106">
        <v>747.75</v>
      </c>
      <c r="S14" s="103">
        <f t="shared" si="1"/>
        <v>6113.333333333333</v>
      </c>
      <c r="T14" s="82">
        <f t="shared" si="2"/>
        <v>4681.25</v>
      </c>
      <c r="U14" s="83">
        <f t="shared" si="3"/>
        <v>1.3059190031152648</v>
      </c>
      <c r="V14" s="82">
        <f t="shared" si="4"/>
        <v>1432.083333333333</v>
      </c>
    </row>
    <row r="15" spans="1:22" s="5" customFormat="1">
      <c r="A15"/>
      <c r="B15" s="64" t="s">
        <v>270</v>
      </c>
      <c r="C15" s="65">
        <v>19345.75</v>
      </c>
      <c r="D15" s="65">
        <v>19746.499999999996</v>
      </c>
      <c r="E15" s="66">
        <v>0.97970526422403992</v>
      </c>
      <c r="F15" s="107">
        <v>-400.74999999999636</v>
      </c>
      <c r="G15" s="101">
        <v>18338.833333333336</v>
      </c>
      <c r="H15" s="65">
        <v>16852.25</v>
      </c>
      <c r="I15" s="67">
        <v>1.0882127510174211</v>
      </c>
      <c r="J15" s="107">
        <v>1486.5833333333358</v>
      </c>
      <c r="K15" s="101">
        <v>14782.333333333334</v>
      </c>
      <c r="L15" s="65">
        <v>14321.5</v>
      </c>
      <c r="M15" s="66">
        <v>1.0321777281243818</v>
      </c>
      <c r="N15" s="107">
        <v>460.83333333333394</v>
      </c>
      <c r="O15" s="101">
        <v>15352</v>
      </c>
      <c r="P15" s="65">
        <v>11933</v>
      </c>
      <c r="Q15" s="66">
        <v>1.2865163831391939</v>
      </c>
      <c r="R15" s="107">
        <v>3419</v>
      </c>
      <c r="S15" s="104">
        <f t="shared" si="1"/>
        <v>67818.916666666672</v>
      </c>
      <c r="T15" s="84">
        <f t="shared" si="2"/>
        <v>62853.25</v>
      </c>
      <c r="U15" s="85">
        <f t="shared" si="3"/>
        <v>1.0790041352939852</v>
      </c>
      <c r="V15" s="84">
        <f t="shared" si="4"/>
        <v>4965.6666666666715</v>
      </c>
    </row>
    <row r="16" spans="1:22">
      <c r="A16" t="str">
        <f t="shared" si="0"/>
        <v>109007</v>
      </c>
      <c r="B16" s="21" t="s">
        <v>27</v>
      </c>
      <c r="C16" s="61">
        <v>1718.25</v>
      </c>
      <c r="D16" s="61">
        <v>1859.75</v>
      </c>
      <c r="E16" s="62">
        <v>0.92391450463772007</v>
      </c>
      <c r="F16" s="106">
        <v>-141.5</v>
      </c>
      <c r="G16" s="100">
        <v>367</v>
      </c>
      <c r="H16" s="61">
        <v>367</v>
      </c>
      <c r="I16" s="62">
        <v>1</v>
      </c>
      <c r="J16" s="106">
        <v>0</v>
      </c>
      <c r="K16" s="100">
        <v>1342</v>
      </c>
      <c r="L16" s="61">
        <v>1364</v>
      </c>
      <c r="M16" s="62">
        <v>0.9838709677419355</v>
      </c>
      <c r="N16" s="106">
        <v>-22</v>
      </c>
      <c r="O16" s="100">
        <v>374</v>
      </c>
      <c r="P16" s="61">
        <v>341</v>
      </c>
      <c r="Q16" s="62">
        <v>1.096774193548387</v>
      </c>
      <c r="R16" s="106">
        <v>33</v>
      </c>
      <c r="S16" s="103">
        <f t="shared" si="1"/>
        <v>3801.25</v>
      </c>
      <c r="T16" s="82">
        <f t="shared" si="2"/>
        <v>3931.75</v>
      </c>
      <c r="U16" s="83">
        <f t="shared" si="3"/>
        <v>0.96680867298276851</v>
      </c>
      <c r="V16" s="82">
        <f t="shared" si="4"/>
        <v>-130.5</v>
      </c>
    </row>
    <row r="17" spans="1:22">
      <c r="A17" t="str">
        <f t="shared" si="0"/>
        <v>101141</v>
      </c>
      <c r="B17" s="21" t="s">
        <v>30</v>
      </c>
      <c r="C17" s="61">
        <v>6127.333333333333</v>
      </c>
      <c r="D17" s="61">
        <v>6404.583333333333</v>
      </c>
      <c r="E17" s="62">
        <v>0.95671068895972933</v>
      </c>
      <c r="F17" s="106">
        <v>-277.25</v>
      </c>
      <c r="G17" s="100">
        <v>466.75</v>
      </c>
      <c r="H17" s="61">
        <v>456.75</v>
      </c>
      <c r="I17" s="62">
        <v>1.0218938149972632</v>
      </c>
      <c r="J17" s="106">
        <v>10</v>
      </c>
      <c r="K17" s="100">
        <v>5883.25</v>
      </c>
      <c r="L17" s="61">
        <v>6394</v>
      </c>
      <c r="M17" s="62">
        <v>0.92012042539881134</v>
      </c>
      <c r="N17" s="106">
        <v>-510.75</v>
      </c>
      <c r="O17" s="100">
        <v>494.5</v>
      </c>
      <c r="P17" s="61">
        <v>356.5</v>
      </c>
      <c r="Q17" s="62">
        <v>1.3870967741935485</v>
      </c>
      <c r="R17" s="106">
        <v>138</v>
      </c>
      <c r="S17" s="103">
        <f t="shared" si="1"/>
        <v>12971.833333333332</v>
      </c>
      <c r="T17" s="82">
        <f t="shared" si="2"/>
        <v>13611.833333333332</v>
      </c>
      <c r="U17" s="83">
        <f t="shared" si="3"/>
        <v>0.95298208666478923</v>
      </c>
      <c r="V17" s="82">
        <f t="shared" si="4"/>
        <v>-640</v>
      </c>
    </row>
    <row r="18" spans="1:22">
      <c r="A18" t="str">
        <f t="shared" si="0"/>
        <v>101951</v>
      </c>
      <c r="B18" s="21" t="s">
        <v>29</v>
      </c>
      <c r="C18" s="61">
        <v>1392</v>
      </c>
      <c r="D18" s="61">
        <v>1438.5</v>
      </c>
      <c r="E18" s="62">
        <v>0.96767466110531808</v>
      </c>
      <c r="F18" s="106">
        <v>-46.5</v>
      </c>
      <c r="G18" s="100">
        <v>1282</v>
      </c>
      <c r="H18" s="61">
        <v>1108.25</v>
      </c>
      <c r="I18" s="62">
        <v>1.1567787051658018</v>
      </c>
      <c r="J18" s="106">
        <v>173.75</v>
      </c>
      <c r="K18" s="100">
        <v>1024.75</v>
      </c>
      <c r="L18" s="61">
        <v>1023</v>
      </c>
      <c r="M18" s="62">
        <v>1.0017106549364614</v>
      </c>
      <c r="N18" s="106">
        <v>1.75</v>
      </c>
      <c r="O18" s="100">
        <v>616</v>
      </c>
      <c r="P18" s="61">
        <v>341</v>
      </c>
      <c r="Q18" s="62">
        <v>1.8064516129032258</v>
      </c>
      <c r="R18" s="106">
        <v>275</v>
      </c>
      <c r="S18" s="103">
        <f t="shared" si="1"/>
        <v>4314.75</v>
      </c>
      <c r="T18" s="82">
        <f t="shared" si="2"/>
        <v>3910.75</v>
      </c>
      <c r="U18" s="83">
        <f t="shared" si="3"/>
        <v>1.103304992648469</v>
      </c>
      <c r="V18" s="82">
        <f t="shared" si="4"/>
        <v>404</v>
      </c>
    </row>
    <row r="19" spans="1:22">
      <c r="A19" t="str">
        <f t="shared" si="0"/>
        <v>101952</v>
      </c>
      <c r="B19" s="21" t="s">
        <v>28</v>
      </c>
      <c r="C19" s="61">
        <v>1297.75</v>
      </c>
      <c r="D19" s="61">
        <v>1414.75</v>
      </c>
      <c r="E19" s="62">
        <v>0.91729987630323384</v>
      </c>
      <c r="F19" s="106">
        <v>-117</v>
      </c>
      <c r="G19" s="100">
        <v>1300</v>
      </c>
      <c r="H19" s="61">
        <v>1269.5</v>
      </c>
      <c r="I19" s="62">
        <v>1.0240252067743205</v>
      </c>
      <c r="J19" s="106">
        <v>30.5</v>
      </c>
      <c r="K19" s="100">
        <v>1024</v>
      </c>
      <c r="L19" s="61">
        <v>1023</v>
      </c>
      <c r="M19" s="62">
        <v>1.0009775171065494</v>
      </c>
      <c r="N19" s="106">
        <v>1</v>
      </c>
      <c r="O19" s="100">
        <v>418.25</v>
      </c>
      <c r="P19" s="61">
        <v>341</v>
      </c>
      <c r="Q19" s="62">
        <v>1.2265395894428153</v>
      </c>
      <c r="R19" s="106">
        <v>77.25</v>
      </c>
      <c r="S19" s="103">
        <f t="shared" si="1"/>
        <v>4040</v>
      </c>
      <c r="T19" s="82">
        <f t="shared" si="2"/>
        <v>4048.25</v>
      </c>
      <c r="U19" s="83">
        <f t="shared" si="3"/>
        <v>0.99796208238127582</v>
      </c>
      <c r="V19" s="82">
        <f t="shared" si="4"/>
        <v>-8.25</v>
      </c>
    </row>
    <row r="20" spans="1:22">
      <c r="A20" t="str">
        <f t="shared" si="0"/>
        <v>101953</v>
      </c>
      <c r="B20" s="21" t="s">
        <v>26</v>
      </c>
      <c r="C20" s="61">
        <v>1363</v>
      </c>
      <c r="D20" s="61">
        <v>1400.5</v>
      </c>
      <c r="E20" s="62">
        <v>0.97322384862549094</v>
      </c>
      <c r="F20" s="106">
        <v>-37.5</v>
      </c>
      <c r="G20" s="100">
        <v>1114.25</v>
      </c>
      <c r="H20" s="61">
        <v>1127</v>
      </c>
      <c r="I20" s="62">
        <v>0.98868677905944991</v>
      </c>
      <c r="J20" s="106">
        <v>-12.75</v>
      </c>
      <c r="K20" s="100">
        <v>1018.25</v>
      </c>
      <c r="L20" s="61">
        <v>1023</v>
      </c>
      <c r="M20" s="62">
        <v>0.99535679374389052</v>
      </c>
      <c r="N20" s="106">
        <v>-4.75</v>
      </c>
      <c r="O20" s="100">
        <v>558.5</v>
      </c>
      <c r="P20" s="61">
        <v>341</v>
      </c>
      <c r="Q20" s="62">
        <v>1.6378299120234605</v>
      </c>
      <c r="R20" s="106">
        <v>217.5</v>
      </c>
      <c r="S20" s="103">
        <f t="shared" si="1"/>
        <v>4054</v>
      </c>
      <c r="T20" s="82">
        <f t="shared" si="2"/>
        <v>3891.5</v>
      </c>
      <c r="U20" s="83">
        <f t="shared" si="3"/>
        <v>1.0417576769883079</v>
      </c>
      <c r="V20" s="82">
        <f t="shared" si="4"/>
        <v>162.5</v>
      </c>
    </row>
    <row r="21" spans="1:22">
      <c r="A21" t="str">
        <f t="shared" si="0"/>
        <v>104008</v>
      </c>
      <c r="B21" s="21" t="s">
        <v>31</v>
      </c>
      <c r="C21" s="61">
        <v>2717.4166666666665</v>
      </c>
      <c r="D21" s="61">
        <v>2626.8333333333235</v>
      </c>
      <c r="E21" s="62">
        <v>1.0344838525474311</v>
      </c>
      <c r="F21" s="106">
        <v>90.583333333343035</v>
      </c>
      <c r="G21" s="100">
        <v>1365.5</v>
      </c>
      <c r="H21" s="61">
        <v>1112.3333333333333</v>
      </c>
      <c r="I21" s="62">
        <v>1.2275996403955649</v>
      </c>
      <c r="J21" s="106">
        <v>253.16666666666674</v>
      </c>
      <c r="K21" s="100">
        <v>1947</v>
      </c>
      <c r="L21" s="61">
        <v>2046</v>
      </c>
      <c r="M21" s="62">
        <v>0.95161290322580649</v>
      </c>
      <c r="N21" s="106">
        <v>-99</v>
      </c>
      <c r="O21" s="100">
        <v>1045.5</v>
      </c>
      <c r="P21" s="61">
        <v>682</v>
      </c>
      <c r="Q21" s="62">
        <v>1.532991202346041</v>
      </c>
      <c r="R21" s="106">
        <v>363.5</v>
      </c>
      <c r="S21" s="103">
        <f t="shared" si="1"/>
        <v>7075.4166666666661</v>
      </c>
      <c r="T21" s="82">
        <f t="shared" si="2"/>
        <v>6467.166666666657</v>
      </c>
      <c r="U21" s="83">
        <f t="shared" si="3"/>
        <v>1.0940520062881751</v>
      </c>
      <c r="V21" s="82">
        <f t="shared" si="4"/>
        <v>608.25000000000909</v>
      </c>
    </row>
    <row r="22" spans="1:22">
      <c r="A22" t="str">
        <f t="shared" si="0"/>
        <v>104009</v>
      </c>
      <c r="B22" s="21" t="s">
        <v>32</v>
      </c>
      <c r="C22" s="61">
        <v>2502.4166666666665</v>
      </c>
      <c r="D22" s="61">
        <v>2604.5</v>
      </c>
      <c r="E22" s="63">
        <v>0.96080501695782938</v>
      </c>
      <c r="F22" s="106">
        <v>-102.08333333333348</v>
      </c>
      <c r="G22" s="100">
        <v>715.75</v>
      </c>
      <c r="H22" s="61">
        <v>747.5</v>
      </c>
      <c r="I22" s="62">
        <v>0.95752508361204014</v>
      </c>
      <c r="J22" s="106">
        <v>-31.75</v>
      </c>
      <c r="K22" s="100">
        <v>1650</v>
      </c>
      <c r="L22" s="61">
        <v>1705</v>
      </c>
      <c r="M22" s="62">
        <v>0.967741935483871</v>
      </c>
      <c r="N22" s="106">
        <v>-55</v>
      </c>
      <c r="O22" s="100">
        <v>660</v>
      </c>
      <c r="P22" s="61">
        <v>682</v>
      </c>
      <c r="Q22" s="62">
        <v>0.967741935483871</v>
      </c>
      <c r="R22" s="106">
        <v>-22</v>
      </c>
      <c r="S22" s="103">
        <f t="shared" si="1"/>
        <v>5528.1666666666661</v>
      </c>
      <c r="T22" s="82">
        <f t="shared" si="2"/>
        <v>5739</v>
      </c>
      <c r="U22" s="83">
        <f t="shared" si="3"/>
        <v>0.96326305395829692</v>
      </c>
      <c r="V22" s="82">
        <f t="shared" si="4"/>
        <v>-210.83333333333394</v>
      </c>
    </row>
    <row r="23" spans="1:22" s="5" customFormat="1">
      <c r="A23"/>
      <c r="B23" s="64" t="s">
        <v>271</v>
      </c>
      <c r="C23" s="65">
        <v>17118.166666666664</v>
      </c>
      <c r="D23" s="65">
        <v>17749.416666666657</v>
      </c>
      <c r="E23" s="66">
        <v>0.96443545093031269</v>
      </c>
      <c r="F23" s="107">
        <v>-631.24999999999272</v>
      </c>
      <c r="G23" s="101">
        <v>6611.25</v>
      </c>
      <c r="H23" s="65">
        <v>6188.333333333333</v>
      </c>
      <c r="I23" s="67">
        <v>1.0683409641799084</v>
      </c>
      <c r="J23" s="107">
        <v>422.91666666666697</v>
      </c>
      <c r="K23" s="101">
        <v>13889.25</v>
      </c>
      <c r="L23" s="65">
        <v>14578</v>
      </c>
      <c r="M23" s="66">
        <v>0.95275415008917552</v>
      </c>
      <c r="N23" s="107">
        <v>-688.75</v>
      </c>
      <c r="O23" s="101">
        <v>4166.75</v>
      </c>
      <c r="P23" s="65">
        <v>3084.5</v>
      </c>
      <c r="Q23" s="66">
        <v>1.3508672394229211</v>
      </c>
      <c r="R23" s="107">
        <v>1082.25</v>
      </c>
      <c r="S23" s="104">
        <f t="shared" si="1"/>
        <v>41785.416666666664</v>
      </c>
      <c r="T23" s="84">
        <f t="shared" si="2"/>
        <v>41600.249999999985</v>
      </c>
      <c r="U23" s="85">
        <f t="shared" si="3"/>
        <v>1.0044510950455028</v>
      </c>
      <c r="V23" s="84">
        <f t="shared" si="4"/>
        <v>185.16666666667879</v>
      </c>
    </row>
    <row r="24" spans="1:22">
      <c r="A24" t="str">
        <f t="shared" si="0"/>
        <v>101107</v>
      </c>
      <c r="B24" s="21" t="s">
        <v>40</v>
      </c>
      <c r="C24" s="61">
        <v>6820</v>
      </c>
      <c r="D24" s="61">
        <v>6785.333333333333</v>
      </c>
      <c r="E24" s="62">
        <v>1.0051090587541758</v>
      </c>
      <c r="F24" s="106">
        <v>34.66666666666697</v>
      </c>
      <c r="G24" s="100">
        <v>783.63333333333333</v>
      </c>
      <c r="H24" s="61">
        <v>717.5</v>
      </c>
      <c r="I24" s="62">
        <v>1.0921718931475028</v>
      </c>
      <c r="J24" s="106">
        <v>66.133333333333326</v>
      </c>
      <c r="K24" s="100">
        <v>6869.5</v>
      </c>
      <c r="L24" s="61">
        <v>6773.5</v>
      </c>
      <c r="M24" s="62">
        <v>1.0141728796043405</v>
      </c>
      <c r="N24" s="106">
        <v>96</v>
      </c>
      <c r="O24" s="100">
        <v>793.5</v>
      </c>
      <c r="P24" s="61">
        <v>713</v>
      </c>
      <c r="Q24" s="62">
        <v>1.1129032258064515</v>
      </c>
      <c r="R24" s="106">
        <v>80.5</v>
      </c>
      <c r="S24" s="103">
        <f t="shared" si="1"/>
        <v>15266.633333333333</v>
      </c>
      <c r="T24" s="82">
        <f t="shared" si="2"/>
        <v>14989.333333333332</v>
      </c>
      <c r="U24" s="83">
        <f t="shared" si="3"/>
        <v>1.0184998220957127</v>
      </c>
      <c r="V24" s="82">
        <f t="shared" si="4"/>
        <v>277.30000000000109</v>
      </c>
    </row>
    <row r="25" spans="1:22">
      <c r="A25" t="str">
        <f t="shared" si="0"/>
        <v>101179</v>
      </c>
      <c r="B25" s="21" t="s">
        <v>44</v>
      </c>
      <c r="C25" s="61">
        <v>1068</v>
      </c>
      <c r="D25" s="61">
        <v>1064.5</v>
      </c>
      <c r="E25" s="62">
        <v>1.003287928604979</v>
      </c>
      <c r="F25" s="106">
        <v>3.5</v>
      </c>
      <c r="G25" s="100">
        <v>1119.5</v>
      </c>
      <c r="H25" s="61">
        <v>1212.5</v>
      </c>
      <c r="I25" s="62">
        <v>0.92329896907216491</v>
      </c>
      <c r="J25" s="106">
        <v>-93</v>
      </c>
      <c r="K25" s="100">
        <v>724.5</v>
      </c>
      <c r="L25" s="61">
        <v>713</v>
      </c>
      <c r="M25" s="62">
        <v>1.0161290322580645</v>
      </c>
      <c r="N25" s="106">
        <v>11.5</v>
      </c>
      <c r="O25" s="100">
        <v>1102.25</v>
      </c>
      <c r="P25" s="61">
        <v>1068.75</v>
      </c>
      <c r="Q25" s="62">
        <v>1.0313450292397661</v>
      </c>
      <c r="R25" s="106">
        <v>33.5</v>
      </c>
      <c r="S25" s="103">
        <f t="shared" si="1"/>
        <v>4014.25</v>
      </c>
      <c r="T25" s="82">
        <f t="shared" si="2"/>
        <v>4058.75</v>
      </c>
      <c r="U25" s="83">
        <f t="shared" si="3"/>
        <v>0.98903603326147216</v>
      </c>
      <c r="V25" s="82">
        <f t="shared" si="4"/>
        <v>-44.5</v>
      </c>
    </row>
    <row r="26" spans="1:22">
      <c r="A26" t="str">
        <f t="shared" si="0"/>
        <v>101192</v>
      </c>
      <c r="B26" s="21" t="s">
        <v>42</v>
      </c>
      <c r="C26" s="61">
        <v>1429</v>
      </c>
      <c r="D26" s="61">
        <v>1432.5</v>
      </c>
      <c r="E26" s="62">
        <v>0.99755671902268761</v>
      </c>
      <c r="F26" s="106">
        <v>-3.5</v>
      </c>
      <c r="G26" s="100">
        <v>1490.5833333333333</v>
      </c>
      <c r="H26" s="61">
        <v>1274.3333333333333</v>
      </c>
      <c r="I26" s="62">
        <v>1.1696965733716975</v>
      </c>
      <c r="J26" s="106">
        <v>216.25</v>
      </c>
      <c r="K26" s="100">
        <v>1059.1666666666667</v>
      </c>
      <c r="L26" s="61">
        <v>1069.5</v>
      </c>
      <c r="M26" s="62">
        <v>0.99033816425120769</v>
      </c>
      <c r="N26" s="106">
        <v>-10.333333333333258</v>
      </c>
      <c r="O26" s="100">
        <v>1038.5</v>
      </c>
      <c r="P26" s="61">
        <v>713</v>
      </c>
      <c r="Q26" s="62">
        <v>1.4565217391304348</v>
      </c>
      <c r="R26" s="106">
        <v>325.5</v>
      </c>
      <c r="S26" s="103">
        <f t="shared" si="1"/>
        <v>5017.25</v>
      </c>
      <c r="T26" s="82">
        <f t="shared" si="2"/>
        <v>4489.333333333333</v>
      </c>
      <c r="U26" s="83">
        <f t="shared" si="3"/>
        <v>1.1175935550935552</v>
      </c>
      <c r="V26" s="82">
        <f t="shared" si="4"/>
        <v>527.91666666666697</v>
      </c>
    </row>
    <row r="27" spans="1:22">
      <c r="A27" t="str">
        <f t="shared" si="0"/>
        <v>101193</v>
      </c>
      <c r="B27" s="21" t="s">
        <v>43</v>
      </c>
      <c r="C27" s="61">
        <v>1967.65</v>
      </c>
      <c r="D27" s="61">
        <v>2045.15</v>
      </c>
      <c r="E27" s="62">
        <v>0.96210546903650096</v>
      </c>
      <c r="F27" s="106">
        <v>-77.5</v>
      </c>
      <c r="G27" s="100">
        <v>1031.5833333333333</v>
      </c>
      <c r="H27" s="61">
        <v>1081.5</v>
      </c>
      <c r="I27" s="62">
        <v>0.9538449684080752</v>
      </c>
      <c r="J27" s="106">
        <v>-49.916666666666742</v>
      </c>
      <c r="K27" s="100">
        <v>1632.5</v>
      </c>
      <c r="L27" s="61">
        <v>1656</v>
      </c>
      <c r="M27" s="62">
        <v>0.98580917874396135</v>
      </c>
      <c r="N27" s="106">
        <v>-23.5</v>
      </c>
      <c r="O27" s="100">
        <v>713</v>
      </c>
      <c r="P27" s="61">
        <v>713</v>
      </c>
      <c r="Q27" s="62">
        <v>1</v>
      </c>
      <c r="R27" s="106">
        <v>0</v>
      </c>
      <c r="S27" s="103">
        <f t="shared" si="1"/>
        <v>5344.7333333333336</v>
      </c>
      <c r="T27" s="82">
        <f t="shared" si="2"/>
        <v>5495.65</v>
      </c>
      <c r="U27" s="83">
        <f t="shared" si="3"/>
        <v>0.97253888681654288</v>
      </c>
      <c r="V27" s="82">
        <f t="shared" si="4"/>
        <v>-150.91666666666606</v>
      </c>
    </row>
    <row r="28" spans="1:22">
      <c r="A28" t="str">
        <f t="shared" si="0"/>
        <v>101189</v>
      </c>
      <c r="B28" s="21" t="s">
        <v>39</v>
      </c>
      <c r="C28" s="61">
        <v>2041.75</v>
      </c>
      <c r="D28" s="61">
        <v>2265.5</v>
      </c>
      <c r="E28" s="62">
        <v>0.90123593025822113</v>
      </c>
      <c r="F28" s="106">
        <v>-223.75</v>
      </c>
      <c r="G28" s="100">
        <v>1429.1166666666666</v>
      </c>
      <c r="H28" s="61">
        <v>1269.5</v>
      </c>
      <c r="I28" s="62">
        <v>1.1257319154522778</v>
      </c>
      <c r="J28" s="106">
        <v>159.61666666666656</v>
      </c>
      <c r="K28" s="100">
        <v>1782.5</v>
      </c>
      <c r="L28" s="61">
        <v>1782.5</v>
      </c>
      <c r="M28" s="62">
        <v>1</v>
      </c>
      <c r="N28" s="106">
        <v>0</v>
      </c>
      <c r="O28" s="100">
        <v>1495.5</v>
      </c>
      <c r="P28" s="61">
        <v>1426</v>
      </c>
      <c r="Q28" s="62">
        <v>1.0487377279102383</v>
      </c>
      <c r="R28" s="106">
        <v>69.5</v>
      </c>
      <c r="S28" s="103">
        <f t="shared" si="1"/>
        <v>6748.8666666666668</v>
      </c>
      <c r="T28" s="82">
        <f t="shared" si="2"/>
        <v>6743.5</v>
      </c>
      <c r="U28" s="83">
        <f t="shared" si="3"/>
        <v>1.0007958280813622</v>
      </c>
      <c r="V28" s="82">
        <f t="shared" si="4"/>
        <v>5.3666666666667879</v>
      </c>
    </row>
    <row r="29" spans="1:22">
      <c r="A29" t="str">
        <f t="shared" si="0"/>
        <v>101190</v>
      </c>
      <c r="B29" s="21" t="s">
        <v>41</v>
      </c>
      <c r="C29" s="61">
        <v>2126</v>
      </c>
      <c r="D29" s="61">
        <v>2141.5</v>
      </c>
      <c r="E29" s="62">
        <v>0.99276208265234644</v>
      </c>
      <c r="F29" s="106">
        <v>-15.5</v>
      </c>
      <c r="G29" s="100">
        <v>1641.75</v>
      </c>
      <c r="H29" s="61">
        <v>1427</v>
      </c>
      <c r="I29" s="62">
        <v>1.150490539593553</v>
      </c>
      <c r="J29" s="106">
        <v>214.75</v>
      </c>
      <c r="K29" s="100">
        <v>1777.0833333333333</v>
      </c>
      <c r="L29" s="61">
        <v>1782.5</v>
      </c>
      <c r="M29" s="62">
        <v>0.99696119682094442</v>
      </c>
      <c r="N29" s="106">
        <v>-5.4166666666667425</v>
      </c>
      <c r="O29" s="100">
        <v>1724.5</v>
      </c>
      <c r="P29" s="61">
        <v>1426</v>
      </c>
      <c r="Q29" s="62">
        <v>1.2093267882187939</v>
      </c>
      <c r="R29" s="106">
        <v>298.5</v>
      </c>
      <c r="S29" s="103">
        <f t="shared" si="1"/>
        <v>7269.333333333333</v>
      </c>
      <c r="T29" s="82">
        <f t="shared" si="2"/>
        <v>6777</v>
      </c>
      <c r="U29" s="83">
        <f t="shared" si="3"/>
        <v>1.0726476808814125</v>
      </c>
      <c r="V29" s="82">
        <f t="shared" si="4"/>
        <v>492.33333333333303</v>
      </c>
    </row>
    <row r="30" spans="1:22">
      <c r="A30" t="str">
        <f t="shared" si="0"/>
        <v>103101</v>
      </c>
      <c r="B30" s="21" t="s">
        <v>232</v>
      </c>
      <c r="C30" s="61">
        <v>1463.25</v>
      </c>
      <c r="D30" s="61">
        <v>1665.75</v>
      </c>
      <c r="E30" s="62">
        <v>0.87843313822602431</v>
      </c>
      <c r="F30" s="106">
        <v>-202.5</v>
      </c>
      <c r="G30" s="100">
        <v>1068</v>
      </c>
      <c r="H30" s="61">
        <v>1173</v>
      </c>
      <c r="I30" s="62">
        <v>0.91048593350383633</v>
      </c>
      <c r="J30" s="106">
        <v>-105</v>
      </c>
      <c r="K30" s="100">
        <v>682</v>
      </c>
      <c r="L30" s="61">
        <v>682</v>
      </c>
      <c r="M30" s="62">
        <v>1</v>
      </c>
      <c r="N30" s="106">
        <v>0</v>
      </c>
      <c r="O30" s="100">
        <v>0</v>
      </c>
      <c r="P30" s="61">
        <v>0</v>
      </c>
      <c r="Q30" s="62" t="s">
        <v>234</v>
      </c>
      <c r="R30" s="106">
        <v>0</v>
      </c>
      <c r="S30" s="103">
        <f t="shared" si="1"/>
        <v>3213.25</v>
      </c>
      <c r="T30" s="82">
        <f t="shared" si="2"/>
        <v>3520.75</v>
      </c>
      <c r="U30" s="83">
        <f t="shared" si="3"/>
        <v>0.91266065469005186</v>
      </c>
      <c r="V30" s="82">
        <f t="shared" si="4"/>
        <v>-307.5</v>
      </c>
    </row>
    <row r="31" spans="1:22" s="5" customFormat="1">
      <c r="A31"/>
      <c r="B31" s="64" t="s">
        <v>52</v>
      </c>
      <c r="C31" s="65">
        <v>16915.650000000001</v>
      </c>
      <c r="D31" s="65">
        <v>17400.23333333333</v>
      </c>
      <c r="E31" s="66">
        <v>0.9721507565990497</v>
      </c>
      <c r="F31" s="107">
        <v>-484.58333333332848</v>
      </c>
      <c r="G31" s="101">
        <v>8564.1666666666661</v>
      </c>
      <c r="H31" s="65">
        <v>8155.333333333333</v>
      </c>
      <c r="I31" s="67">
        <v>1.0501307937545983</v>
      </c>
      <c r="J31" s="107">
        <v>408.83333333333303</v>
      </c>
      <c r="K31" s="101">
        <v>14527.25</v>
      </c>
      <c r="L31" s="65">
        <v>14459</v>
      </c>
      <c r="M31" s="66">
        <v>1.004720243446988</v>
      </c>
      <c r="N31" s="107">
        <v>68.25</v>
      </c>
      <c r="O31" s="101">
        <v>6867.25</v>
      </c>
      <c r="P31" s="65">
        <v>6059.75</v>
      </c>
      <c r="Q31" s="66">
        <v>1.1332563224555467</v>
      </c>
      <c r="R31" s="107">
        <v>807.5</v>
      </c>
      <c r="S31" s="104">
        <f t="shared" si="1"/>
        <v>46874.316666666666</v>
      </c>
      <c r="T31" s="84">
        <f t="shared" si="2"/>
        <v>46074.316666666666</v>
      </c>
      <c r="U31" s="85">
        <f t="shared" si="3"/>
        <v>1.0173632526291763</v>
      </c>
      <c r="V31" s="84">
        <f t="shared" si="4"/>
        <v>800</v>
      </c>
    </row>
    <row r="32" spans="1:22">
      <c r="A32" t="str">
        <f t="shared" si="0"/>
        <v>102043</v>
      </c>
      <c r="B32" s="21" t="s">
        <v>235</v>
      </c>
      <c r="C32" s="61">
        <v>5491.75</v>
      </c>
      <c r="D32" s="61">
        <v>6098.75</v>
      </c>
      <c r="E32" s="63">
        <v>0.90047140807542525</v>
      </c>
      <c r="F32" s="106">
        <v>-607</v>
      </c>
      <c r="G32" s="100">
        <v>374</v>
      </c>
      <c r="H32" s="61">
        <v>727</v>
      </c>
      <c r="I32" s="62">
        <v>0.5144429160935351</v>
      </c>
      <c r="J32" s="106">
        <v>-353</v>
      </c>
      <c r="K32" s="100">
        <v>5060.75</v>
      </c>
      <c r="L32" s="61">
        <v>6060.5</v>
      </c>
      <c r="M32" s="63">
        <v>0.83503836317135549</v>
      </c>
      <c r="N32" s="106">
        <v>-999.75</v>
      </c>
      <c r="O32" s="100">
        <v>241.5</v>
      </c>
      <c r="P32" s="61">
        <v>713</v>
      </c>
      <c r="Q32" s="62">
        <v>0.33870967741935482</v>
      </c>
      <c r="R32" s="106">
        <v>-471.5</v>
      </c>
      <c r="S32" s="103">
        <f t="shared" si="1"/>
        <v>11168</v>
      </c>
      <c r="T32" s="82">
        <f t="shared" si="2"/>
        <v>13599.25</v>
      </c>
      <c r="U32" s="83">
        <f t="shared" si="3"/>
        <v>0.82122175855286139</v>
      </c>
      <c r="V32" s="82">
        <f t="shared" si="4"/>
        <v>-2431.25</v>
      </c>
    </row>
    <row r="33" spans="1:22">
      <c r="A33" t="str">
        <f t="shared" si="0"/>
        <v>102240</v>
      </c>
      <c r="B33" s="21" t="s">
        <v>242</v>
      </c>
      <c r="C33" s="61">
        <v>1034.5</v>
      </c>
      <c r="D33" s="61">
        <v>1059</v>
      </c>
      <c r="E33" s="63">
        <v>0.97686496694995284</v>
      </c>
      <c r="F33" s="106">
        <v>-24.5</v>
      </c>
      <c r="G33" s="100">
        <v>23</v>
      </c>
      <c r="H33" s="61">
        <v>0</v>
      </c>
      <c r="I33" s="62" t="s">
        <v>234</v>
      </c>
      <c r="J33" s="106">
        <v>23</v>
      </c>
      <c r="K33" s="100">
        <v>1012.5</v>
      </c>
      <c r="L33" s="61">
        <v>1070</v>
      </c>
      <c r="M33" s="63">
        <v>0.94626168224299068</v>
      </c>
      <c r="N33" s="106">
        <v>-57.5</v>
      </c>
      <c r="O33" s="100">
        <v>80.5</v>
      </c>
      <c r="P33" s="61">
        <v>0</v>
      </c>
      <c r="Q33" s="62">
        <v>1</v>
      </c>
      <c r="R33" s="106">
        <v>80.5</v>
      </c>
      <c r="S33" s="103">
        <f t="shared" si="1"/>
        <v>2150.5</v>
      </c>
      <c r="T33" s="82">
        <f t="shared" si="2"/>
        <v>2129</v>
      </c>
      <c r="U33" s="83">
        <f t="shared" si="3"/>
        <v>1.0100986378581494</v>
      </c>
      <c r="V33" s="82">
        <f t="shared" si="4"/>
        <v>21.5</v>
      </c>
    </row>
    <row r="34" spans="1:22">
      <c r="A34" t="str">
        <f t="shared" si="0"/>
        <v>102266</v>
      </c>
      <c r="B34" s="21" t="s">
        <v>243</v>
      </c>
      <c r="C34" s="61">
        <v>2043.5</v>
      </c>
      <c r="D34" s="61">
        <v>2139</v>
      </c>
      <c r="E34" s="63">
        <v>0.95535296867695185</v>
      </c>
      <c r="F34" s="106">
        <v>-95.5</v>
      </c>
      <c r="G34" s="100">
        <v>733.25</v>
      </c>
      <c r="H34" s="61">
        <v>713</v>
      </c>
      <c r="I34" s="62">
        <v>1.0284011220196354</v>
      </c>
      <c r="J34" s="106">
        <v>20.25</v>
      </c>
      <c r="K34" s="100">
        <v>2047</v>
      </c>
      <c r="L34" s="61">
        <v>2139</v>
      </c>
      <c r="M34" s="63">
        <v>0.956989247311828</v>
      </c>
      <c r="N34" s="106">
        <v>-92</v>
      </c>
      <c r="O34" s="100">
        <v>713</v>
      </c>
      <c r="P34" s="61">
        <v>713</v>
      </c>
      <c r="Q34" s="62">
        <v>1</v>
      </c>
      <c r="R34" s="106">
        <v>0</v>
      </c>
      <c r="S34" s="103">
        <f t="shared" si="1"/>
        <v>5536.75</v>
      </c>
      <c r="T34" s="82">
        <f t="shared" si="2"/>
        <v>5704</v>
      </c>
      <c r="U34" s="83">
        <f t="shared" si="3"/>
        <v>0.9706784712482468</v>
      </c>
      <c r="V34" s="82">
        <f t="shared" si="4"/>
        <v>-167.25</v>
      </c>
    </row>
    <row r="35" spans="1:22">
      <c r="A35" t="str">
        <f t="shared" si="0"/>
        <v>102251</v>
      </c>
      <c r="B35" s="21" t="s">
        <v>236</v>
      </c>
      <c r="C35" s="61">
        <v>3539.1666666666665</v>
      </c>
      <c r="D35" s="61">
        <v>3567.3333333333335</v>
      </c>
      <c r="E35" s="63">
        <v>0.99210427957391145</v>
      </c>
      <c r="F35" s="106">
        <v>-28.16666666666697</v>
      </c>
      <c r="G35" s="100">
        <v>391.5</v>
      </c>
      <c r="H35" s="61">
        <v>358.5</v>
      </c>
      <c r="I35" s="62">
        <v>1.0920502092050208</v>
      </c>
      <c r="J35" s="106">
        <v>33</v>
      </c>
      <c r="K35" s="100">
        <v>3502</v>
      </c>
      <c r="L35" s="61">
        <v>3797.5</v>
      </c>
      <c r="M35" s="63">
        <v>0.92218564845292961</v>
      </c>
      <c r="N35" s="106">
        <v>-295.5</v>
      </c>
      <c r="O35" s="100">
        <v>391</v>
      </c>
      <c r="P35" s="61">
        <v>356.5</v>
      </c>
      <c r="Q35" s="62">
        <v>1.096774193548387</v>
      </c>
      <c r="R35" s="106">
        <v>34.5</v>
      </c>
      <c r="S35" s="103">
        <f t="shared" si="1"/>
        <v>7823.6666666666661</v>
      </c>
      <c r="T35" s="82">
        <f t="shared" si="2"/>
        <v>8079.8333333333339</v>
      </c>
      <c r="U35" s="83">
        <f t="shared" si="3"/>
        <v>0.96829555065079709</v>
      </c>
      <c r="V35" s="82">
        <f t="shared" si="4"/>
        <v>-256.16666666666788</v>
      </c>
    </row>
    <row r="36" spans="1:22">
      <c r="A36" t="str">
        <f t="shared" si="0"/>
        <v>102262</v>
      </c>
      <c r="B36" s="21" t="s">
        <v>239</v>
      </c>
      <c r="C36" s="61">
        <v>1736.5</v>
      </c>
      <c r="D36" s="61">
        <v>1782.5</v>
      </c>
      <c r="E36" s="62">
        <v>0.97419354838709682</v>
      </c>
      <c r="F36" s="106">
        <v>-46</v>
      </c>
      <c r="G36" s="100">
        <v>345</v>
      </c>
      <c r="H36" s="61">
        <v>356.5</v>
      </c>
      <c r="I36" s="62">
        <v>0.967741935483871</v>
      </c>
      <c r="J36" s="106">
        <v>-11.5</v>
      </c>
      <c r="K36" s="100">
        <v>1656</v>
      </c>
      <c r="L36" s="61">
        <v>1771</v>
      </c>
      <c r="M36" s="63">
        <v>0.93506493506493504</v>
      </c>
      <c r="N36" s="106">
        <v>-115</v>
      </c>
      <c r="O36" s="100">
        <v>299</v>
      </c>
      <c r="P36" s="61">
        <v>356.5</v>
      </c>
      <c r="Q36" s="62">
        <v>0.83870967741935487</v>
      </c>
      <c r="R36" s="106">
        <v>-57.5</v>
      </c>
      <c r="S36" s="103">
        <f t="shared" si="1"/>
        <v>4036.5</v>
      </c>
      <c r="T36" s="82">
        <f t="shared" si="2"/>
        <v>4266.5</v>
      </c>
      <c r="U36" s="83">
        <f t="shared" si="3"/>
        <v>0.9460916442048517</v>
      </c>
      <c r="V36" s="82">
        <f t="shared" si="4"/>
        <v>-230</v>
      </c>
    </row>
    <row r="37" spans="1:22">
      <c r="A37" t="str">
        <f t="shared" si="0"/>
        <v>102033</v>
      </c>
      <c r="B37" s="21" t="s">
        <v>238</v>
      </c>
      <c r="C37" s="61">
        <v>2049</v>
      </c>
      <c r="D37" s="61">
        <v>2145</v>
      </c>
      <c r="E37" s="62">
        <v>0.95524475524475527</v>
      </c>
      <c r="F37" s="106">
        <v>-96</v>
      </c>
      <c r="G37" s="100">
        <v>333.5</v>
      </c>
      <c r="H37" s="61">
        <v>352.5</v>
      </c>
      <c r="I37" s="62">
        <v>0.94609929078014188</v>
      </c>
      <c r="J37" s="106">
        <v>-19</v>
      </c>
      <c r="K37" s="100">
        <v>1649</v>
      </c>
      <c r="L37" s="61">
        <v>1782.5</v>
      </c>
      <c r="M37" s="62">
        <v>0.92510518934081343</v>
      </c>
      <c r="N37" s="106">
        <v>-133.5</v>
      </c>
      <c r="O37" s="100">
        <v>276</v>
      </c>
      <c r="P37" s="61">
        <v>356.5</v>
      </c>
      <c r="Q37" s="62">
        <v>0.77419354838709675</v>
      </c>
      <c r="R37" s="106">
        <v>-80.5</v>
      </c>
      <c r="S37" s="103">
        <f t="shared" si="1"/>
        <v>4307.5</v>
      </c>
      <c r="T37" s="82">
        <f t="shared" si="2"/>
        <v>4636.5</v>
      </c>
      <c r="U37" s="83">
        <f t="shared" si="3"/>
        <v>0.92904130270678309</v>
      </c>
      <c r="V37" s="82">
        <f t="shared" si="4"/>
        <v>-329</v>
      </c>
    </row>
    <row r="38" spans="1:22">
      <c r="A38" t="str">
        <f t="shared" si="0"/>
        <v>102041</v>
      </c>
      <c r="B38" s="21" t="s">
        <v>237</v>
      </c>
      <c r="C38" s="61">
        <v>2256.5</v>
      </c>
      <c r="D38" s="61">
        <v>2358.5</v>
      </c>
      <c r="E38" s="62">
        <v>0.95675217299130799</v>
      </c>
      <c r="F38" s="106">
        <v>-102</v>
      </c>
      <c r="G38" s="100">
        <v>316</v>
      </c>
      <c r="H38" s="61">
        <v>357.5</v>
      </c>
      <c r="I38" s="62">
        <v>0.88391608391608389</v>
      </c>
      <c r="J38" s="106">
        <v>-41.5</v>
      </c>
      <c r="K38" s="100">
        <v>1703</v>
      </c>
      <c r="L38" s="61">
        <v>1690.5</v>
      </c>
      <c r="M38" s="62">
        <v>1.007394262052647</v>
      </c>
      <c r="N38" s="106">
        <v>12.5</v>
      </c>
      <c r="O38" s="100">
        <v>345</v>
      </c>
      <c r="P38" s="61">
        <v>356.5</v>
      </c>
      <c r="Q38" s="62">
        <v>0.967741935483871</v>
      </c>
      <c r="R38" s="106">
        <v>-11.5</v>
      </c>
      <c r="S38" s="103">
        <f t="shared" si="1"/>
        <v>4620.5</v>
      </c>
      <c r="T38" s="82">
        <f t="shared" si="2"/>
        <v>4763</v>
      </c>
      <c r="U38" s="83">
        <f t="shared" si="3"/>
        <v>0.97008188116733152</v>
      </c>
      <c r="V38" s="82">
        <f t="shared" si="4"/>
        <v>-142.5</v>
      </c>
    </row>
    <row r="39" spans="1:22">
      <c r="A39" t="str">
        <f t="shared" si="0"/>
        <v>102260</v>
      </c>
      <c r="B39" s="21" t="s">
        <v>240</v>
      </c>
      <c r="C39" s="61">
        <v>2348.75</v>
      </c>
      <c r="D39" s="61">
        <v>2502</v>
      </c>
      <c r="E39" s="62">
        <v>0.93874900079936052</v>
      </c>
      <c r="F39" s="106">
        <v>-153.25</v>
      </c>
      <c r="G39" s="100">
        <v>336.5</v>
      </c>
      <c r="H39" s="61">
        <v>352.5</v>
      </c>
      <c r="I39" s="62">
        <v>0.95460992907801423</v>
      </c>
      <c r="J39" s="106">
        <v>-16</v>
      </c>
      <c r="K39" s="100">
        <v>1970</v>
      </c>
      <c r="L39" s="61">
        <v>2104.5</v>
      </c>
      <c r="M39" s="62">
        <v>0.93608933238298886</v>
      </c>
      <c r="N39" s="106">
        <v>-134.5</v>
      </c>
      <c r="O39" s="100">
        <v>288.5</v>
      </c>
      <c r="P39" s="61">
        <v>356.5</v>
      </c>
      <c r="Q39" s="62">
        <v>0.80925666199158486</v>
      </c>
      <c r="R39" s="106">
        <v>-68</v>
      </c>
      <c r="S39" s="103">
        <f t="shared" si="1"/>
        <v>4943.75</v>
      </c>
      <c r="T39" s="82">
        <f t="shared" si="2"/>
        <v>5315.5</v>
      </c>
      <c r="U39" s="83">
        <f t="shared" si="3"/>
        <v>0.93006302323393852</v>
      </c>
      <c r="V39" s="82">
        <f t="shared" si="4"/>
        <v>-371.75</v>
      </c>
    </row>
    <row r="40" spans="1:22">
      <c r="A40" t="str">
        <f t="shared" si="0"/>
        <v>102034</v>
      </c>
      <c r="B40" s="21" t="s">
        <v>241</v>
      </c>
      <c r="C40" s="61">
        <v>1506.6666666666667</v>
      </c>
      <c r="D40" s="61">
        <v>1426.5</v>
      </c>
      <c r="E40" s="62">
        <v>1.0561981539899521</v>
      </c>
      <c r="F40" s="106">
        <v>80.166666666666742</v>
      </c>
      <c r="G40" s="100">
        <v>548</v>
      </c>
      <c r="H40" s="61">
        <v>352.5</v>
      </c>
      <c r="I40" s="62">
        <v>1.5546099290780142</v>
      </c>
      <c r="J40" s="106">
        <v>195.5</v>
      </c>
      <c r="K40" s="100">
        <v>1437.5</v>
      </c>
      <c r="L40" s="61">
        <v>1426</v>
      </c>
      <c r="M40" s="62">
        <v>1.0080645161290323</v>
      </c>
      <c r="N40" s="106">
        <v>11.5</v>
      </c>
      <c r="O40" s="100">
        <v>447.5</v>
      </c>
      <c r="P40" s="61">
        <v>356.5</v>
      </c>
      <c r="Q40" s="62">
        <v>1.2552594670406731</v>
      </c>
      <c r="R40" s="106">
        <v>91</v>
      </c>
      <c r="S40" s="103">
        <f t="shared" si="1"/>
        <v>3939.666666666667</v>
      </c>
      <c r="T40" s="82">
        <f t="shared" si="2"/>
        <v>3561.5</v>
      </c>
      <c r="U40" s="83">
        <f t="shared" si="3"/>
        <v>1.1061818522158267</v>
      </c>
      <c r="V40" s="82">
        <f t="shared" si="4"/>
        <v>378.16666666666697</v>
      </c>
    </row>
    <row r="41" spans="1:22" s="5" customFormat="1">
      <c r="A41"/>
      <c r="B41" s="64" t="s">
        <v>267</v>
      </c>
      <c r="C41" s="65">
        <v>22006.333333333332</v>
      </c>
      <c r="D41" s="65">
        <v>23078.583333333336</v>
      </c>
      <c r="E41" s="66">
        <v>0.95353917593150916</v>
      </c>
      <c r="F41" s="107">
        <v>-1072.2500000000036</v>
      </c>
      <c r="G41" s="101">
        <v>3400.75</v>
      </c>
      <c r="H41" s="65">
        <v>3570</v>
      </c>
      <c r="I41" s="67">
        <v>0.95259103641456577</v>
      </c>
      <c r="J41" s="107">
        <v>-169.25</v>
      </c>
      <c r="K41" s="101">
        <v>20037.75</v>
      </c>
      <c r="L41" s="65">
        <v>21841.5</v>
      </c>
      <c r="M41" s="66">
        <v>0.917416386237209</v>
      </c>
      <c r="N41" s="107">
        <v>-1803.75</v>
      </c>
      <c r="O41" s="101">
        <v>3082</v>
      </c>
      <c r="P41" s="65">
        <v>3565</v>
      </c>
      <c r="Q41" s="66">
        <v>0.86451612903225805</v>
      </c>
      <c r="R41" s="107">
        <v>-483</v>
      </c>
      <c r="S41" s="104">
        <f t="shared" si="1"/>
        <v>48526.833333333328</v>
      </c>
      <c r="T41" s="84">
        <f t="shared" si="2"/>
        <v>52055.083333333336</v>
      </c>
      <c r="U41" s="85">
        <f t="shared" si="3"/>
        <v>0.9322208365817618</v>
      </c>
      <c r="V41" s="84">
        <f t="shared" si="4"/>
        <v>-3528.2500000000073</v>
      </c>
    </row>
    <row r="42" spans="1:22">
      <c r="A42" t="str">
        <f t="shared" si="0"/>
        <v>102177</v>
      </c>
      <c r="B42" s="21" t="s">
        <v>36</v>
      </c>
      <c r="C42" s="61">
        <v>610.5</v>
      </c>
      <c r="D42" s="61">
        <v>778.5</v>
      </c>
      <c r="E42" s="62">
        <v>0.78420038535645475</v>
      </c>
      <c r="F42" s="106">
        <v>-168</v>
      </c>
      <c r="G42" s="100">
        <v>0</v>
      </c>
      <c r="H42" s="61">
        <v>0</v>
      </c>
      <c r="I42" s="62">
        <v>1</v>
      </c>
      <c r="J42" s="106">
        <v>0</v>
      </c>
      <c r="K42" s="100">
        <v>576</v>
      </c>
      <c r="L42" s="61">
        <v>768</v>
      </c>
      <c r="M42" s="62">
        <v>0.75</v>
      </c>
      <c r="N42" s="106">
        <v>-192</v>
      </c>
      <c r="O42" s="100">
        <v>0</v>
      </c>
      <c r="P42" s="61">
        <v>0</v>
      </c>
      <c r="Q42" s="62">
        <v>1</v>
      </c>
      <c r="R42" s="106">
        <v>0</v>
      </c>
      <c r="S42" s="103">
        <f t="shared" si="1"/>
        <v>1186.5</v>
      </c>
      <c r="T42" s="82">
        <f t="shared" si="2"/>
        <v>1546.5</v>
      </c>
      <c r="U42" s="83">
        <f t="shared" si="3"/>
        <v>0.76721629485935983</v>
      </c>
      <c r="V42" s="82">
        <f t="shared" si="4"/>
        <v>-360</v>
      </c>
    </row>
    <row r="43" spans="1:22" s="69" customFormat="1">
      <c r="A43" t="str">
        <f t="shared" si="0"/>
        <v>102074</v>
      </c>
      <c r="B43" s="21" t="s">
        <v>35</v>
      </c>
      <c r="C43" s="61">
        <v>2197</v>
      </c>
      <c r="D43" s="61">
        <v>2734</v>
      </c>
      <c r="E43" s="62">
        <v>0.80358449158741774</v>
      </c>
      <c r="F43" s="106">
        <v>-537</v>
      </c>
      <c r="G43" s="100">
        <v>905.5</v>
      </c>
      <c r="H43" s="61">
        <v>1202.5</v>
      </c>
      <c r="I43" s="62">
        <v>0.753014553014553</v>
      </c>
      <c r="J43" s="106">
        <v>-297</v>
      </c>
      <c r="K43" s="100">
        <v>2267.5</v>
      </c>
      <c r="L43" s="61">
        <v>2604</v>
      </c>
      <c r="M43" s="62">
        <v>0.87077572964669736</v>
      </c>
      <c r="N43" s="106">
        <v>-336.5</v>
      </c>
      <c r="O43" s="100">
        <v>726</v>
      </c>
      <c r="P43" s="61">
        <v>744</v>
      </c>
      <c r="Q43" s="62">
        <v>0.97580645161290325</v>
      </c>
      <c r="R43" s="106">
        <v>-18</v>
      </c>
      <c r="S43" s="103">
        <f t="shared" si="1"/>
        <v>6096</v>
      </c>
      <c r="T43" s="82">
        <f t="shared" si="2"/>
        <v>7284.5</v>
      </c>
      <c r="U43" s="83">
        <f t="shared" si="3"/>
        <v>0.83684535657903769</v>
      </c>
      <c r="V43" s="82">
        <f t="shared" si="4"/>
        <v>-1188.5</v>
      </c>
    </row>
    <row r="44" spans="1:22">
      <c r="A44" t="str">
        <f t="shared" si="0"/>
        <v>102077</v>
      </c>
      <c r="B44" s="21" t="s">
        <v>38</v>
      </c>
      <c r="C44" s="61">
        <v>5525.25</v>
      </c>
      <c r="D44" s="61">
        <v>7061</v>
      </c>
      <c r="E44" s="63">
        <v>0.78250247840249254</v>
      </c>
      <c r="F44" s="106">
        <v>-1535.75</v>
      </c>
      <c r="G44" s="100">
        <v>438</v>
      </c>
      <c r="H44" s="61">
        <v>370.5</v>
      </c>
      <c r="I44" s="62">
        <v>1.1821862348178138</v>
      </c>
      <c r="J44" s="106">
        <v>67.5</v>
      </c>
      <c r="K44" s="100">
        <v>5604.5</v>
      </c>
      <c r="L44" s="61">
        <v>6980.5</v>
      </c>
      <c r="M44" s="62">
        <v>0.80287944989613924</v>
      </c>
      <c r="N44" s="106">
        <v>-1376</v>
      </c>
      <c r="O44" s="100">
        <v>287.5</v>
      </c>
      <c r="P44" s="61">
        <v>356.5</v>
      </c>
      <c r="Q44" s="62">
        <v>0.80645161290322576</v>
      </c>
      <c r="R44" s="106">
        <v>-69</v>
      </c>
      <c r="S44" s="103">
        <f t="shared" si="1"/>
        <v>11855.25</v>
      </c>
      <c r="T44" s="82">
        <f t="shared" si="2"/>
        <v>14768.5</v>
      </c>
      <c r="U44" s="83">
        <f t="shared" si="3"/>
        <v>0.80273893760368353</v>
      </c>
      <c r="V44" s="82">
        <f t="shared" si="4"/>
        <v>-2913.25</v>
      </c>
    </row>
    <row r="45" spans="1:22">
      <c r="A45" t="str">
        <f t="shared" si="0"/>
        <v>102075</v>
      </c>
      <c r="B45" s="21" t="s">
        <v>33</v>
      </c>
      <c r="C45" s="61">
        <v>1098</v>
      </c>
      <c r="D45" s="61">
        <v>1094.5</v>
      </c>
      <c r="E45" s="62">
        <v>1.0031978072179077</v>
      </c>
      <c r="F45" s="106">
        <v>3.5</v>
      </c>
      <c r="G45" s="100">
        <v>447.5</v>
      </c>
      <c r="H45" s="61">
        <v>700.5</v>
      </c>
      <c r="I45" s="62">
        <v>0.63882940756602424</v>
      </c>
      <c r="J45" s="106">
        <v>-253</v>
      </c>
      <c r="K45" s="100">
        <v>728.5</v>
      </c>
      <c r="L45" s="61">
        <v>728.5</v>
      </c>
      <c r="M45" s="62">
        <v>1</v>
      </c>
      <c r="N45" s="106">
        <v>0</v>
      </c>
      <c r="O45" s="100">
        <v>372</v>
      </c>
      <c r="P45" s="61">
        <v>636</v>
      </c>
      <c r="Q45" s="62">
        <v>0.58490566037735847</v>
      </c>
      <c r="R45" s="106">
        <v>-264</v>
      </c>
      <c r="S45" s="103">
        <f t="shared" si="1"/>
        <v>2646</v>
      </c>
      <c r="T45" s="82">
        <f t="shared" si="2"/>
        <v>3159.5</v>
      </c>
      <c r="U45" s="83">
        <f t="shared" si="3"/>
        <v>0.83747428390568124</v>
      </c>
      <c r="V45" s="82">
        <f t="shared" si="4"/>
        <v>-513.5</v>
      </c>
    </row>
    <row r="46" spans="1:22">
      <c r="A46" t="str">
        <f t="shared" si="0"/>
        <v>102068</v>
      </c>
      <c r="B46" s="21" t="s">
        <v>34</v>
      </c>
      <c r="C46" s="61">
        <v>3418.05</v>
      </c>
      <c r="D46" s="61">
        <v>3755.25</v>
      </c>
      <c r="E46" s="62">
        <v>0.91020571200319556</v>
      </c>
      <c r="F46" s="106">
        <v>-337.19999999999982</v>
      </c>
      <c r="G46" s="100">
        <v>658.5</v>
      </c>
      <c r="H46" s="61">
        <v>775</v>
      </c>
      <c r="I46" s="62">
        <v>0.84967741935483876</v>
      </c>
      <c r="J46" s="106">
        <v>-116.5</v>
      </c>
      <c r="K46" s="100">
        <v>3158.5</v>
      </c>
      <c r="L46" s="61">
        <v>3360</v>
      </c>
      <c r="M46" s="62">
        <v>0.94002976190476195</v>
      </c>
      <c r="N46" s="106">
        <v>-201.5</v>
      </c>
      <c r="O46" s="100">
        <v>661</v>
      </c>
      <c r="P46" s="61">
        <v>744</v>
      </c>
      <c r="Q46" s="62">
        <v>0.88844086021505375</v>
      </c>
      <c r="R46" s="106">
        <v>-83</v>
      </c>
      <c r="S46" s="103">
        <f t="shared" si="1"/>
        <v>7896.05</v>
      </c>
      <c r="T46" s="82">
        <f t="shared" si="2"/>
        <v>8634.25</v>
      </c>
      <c r="U46" s="83">
        <f t="shared" si="3"/>
        <v>0.91450328633060196</v>
      </c>
      <c r="V46" s="82">
        <f t="shared" si="4"/>
        <v>-738.19999999999982</v>
      </c>
    </row>
    <row r="47" spans="1:22" s="5" customFormat="1">
      <c r="A47" t="str">
        <f t="shared" si="0"/>
        <v>102078</v>
      </c>
      <c r="B47" s="21" t="s">
        <v>37</v>
      </c>
      <c r="C47" s="61">
        <v>1127.6666666666667</v>
      </c>
      <c r="D47" s="61">
        <v>1295.5</v>
      </c>
      <c r="E47" s="62">
        <v>0.87044899009391485</v>
      </c>
      <c r="F47" s="106">
        <v>-167.83333333333326</v>
      </c>
      <c r="G47" s="100">
        <v>908.5</v>
      </c>
      <c r="H47" s="61">
        <v>1012.25</v>
      </c>
      <c r="I47" s="62">
        <v>0.89750555692763645</v>
      </c>
      <c r="J47" s="106">
        <v>-103.75</v>
      </c>
      <c r="K47" s="100">
        <v>792</v>
      </c>
      <c r="L47" s="61">
        <v>825</v>
      </c>
      <c r="M47" s="62">
        <v>0.96</v>
      </c>
      <c r="N47" s="106">
        <v>-33</v>
      </c>
      <c r="O47" s="100">
        <v>627</v>
      </c>
      <c r="P47" s="61">
        <v>583</v>
      </c>
      <c r="Q47" s="62">
        <v>1.0754716981132075</v>
      </c>
      <c r="R47" s="106">
        <v>44</v>
      </c>
      <c r="S47" s="103">
        <f t="shared" si="1"/>
        <v>3455.166666666667</v>
      </c>
      <c r="T47" s="82">
        <f t="shared" si="2"/>
        <v>3715.75</v>
      </c>
      <c r="U47" s="83">
        <f t="shared" si="3"/>
        <v>0.92987059588687804</v>
      </c>
      <c r="V47" s="82">
        <f t="shared" si="4"/>
        <v>-260.58333333333303</v>
      </c>
    </row>
    <row r="48" spans="1:22" s="5" customFormat="1">
      <c r="A48"/>
      <c r="B48" s="64" t="s">
        <v>268</v>
      </c>
      <c r="C48" s="65">
        <v>13976.466666666665</v>
      </c>
      <c r="D48" s="65">
        <v>16718.75</v>
      </c>
      <c r="E48" s="66">
        <v>0.83597557632398745</v>
      </c>
      <c r="F48" s="107">
        <v>-2742.2833333333347</v>
      </c>
      <c r="G48" s="101">
        <v>3358</v>
      </c>
      <c r="H48" s="65">
        <v>4060.75</v>
      </c>
      <c r="I48" s="66">
        <v>0.82694083605245339</v>
      </c>
      <c r="J48" s="107">
        <v>-702.75</v>
      </c>
      <c r="K48" s="101">
        <v>13127</v>
      </c>
      <c r="L48" s="65">
        <v>15266</v>
      </c>
      <c r="M48" s="66">
        <v>0.85988471112275644</v>
      </c>
      <c r="N48" s="107">
        <v>-2139</v>
      </c>
      <c r="O48" s="101">
        <v>2673.5</v>
      </c>
      <c r="P48" s="65">
        <v>3063.5</v>
      </c>
      <c r="Q48" s="68">
        <v>0.87269463032479189</v>
      </c>
      <c r="R48" s="107">
        <v>-390</v>
      </c>
      <c r="S48" s="104">
        <f t="shared" si="1"/>
        <v>33134.966666666667</v>
      </c>
      <c r="T48" s="84">
        <f t="shared" si="2"/>
        <v>39109</v>
      </c>
      <c r="U48" s="85">
        <f t="shared" si="3"/>
        <v>0.84724658433267708</v>
      </c>
      <c r="V48" s="84">
        <f t="shared" si="4"/>
        <v>-5974.0333333333328</v>
      </c>
    </row>
    <row r="49" spans="2:22" ht="15" customHeight="1">
      <c r="B49" s="74" t="s">
        <v>269</v>
      </c>
      <c r="C49" s="75">
        <v>89362.366666666669</v>
      </c>
      <c r="D49" s="75">
        <v>94693.483333333323</v>
      </c>
      <c r="E49" s="76">
        <v>0.94370133530836087</v>
      </c>
      <c r="F49" s="108">
        <v>-5331.1166666666541</v>
      </c>
      <c r="G49" s="102">
        <v>40273</v>
      </c>
      <c r="H49" s="75">
        <v>38826.666666666664</v>
      </c>
      <c r="I49" s="76">
        <v>1.0372510302197804</v>
      </c>
      <c r="J49" s="108">
        <v>1446.3333333333358</v>
      </c>
      <c r="K49" s="102">
        <v>76363.583333333328</v>
      </c>
      <c r="L49" s="75">
        <v>80466</v>
      </c>
      <c r="M49" s="76">
        <v>0.94901676898731546</v>
      </c>
      <c r="N49" s="108">
        <v>-4102.4166666666715</v>
      </c>
      <c r="O49" s="102">
        <v>32141.5</v>
      </c>
      <c r="P49" s="75">
        <v>27705.75</v>
      </c>
      <c r="Q49" s="77">
        <v>1.1601021448616262</v>
      </c>
      <c r="R49" s="108">
        <v>4435.75</v>
      </c>
      <c r="S49" s="105"/>
      <c r="T49" s="86"/>
      <c r="U49" s="87" t="e">
        <f t="shared" ref="U49" si="5">S49/T49</f>
        <v>#DIV/0!</v>
      </c>
      <c r="V49" s="86">
        <f t="shared" ref="V49" si="6">S49-T49</f>
        <v>0</v>
      </c>
    </row>
    <row r="52" spans="2:22">
      <c r="C52" s="71">
        <f>C48+C41+C31+C23+C15</f>
        <v>89362.366666666669</v>
      </c>
      <c r="D52" s="71">
        <f>D48+D41+D31+D23+D15</f>
        <v>94693.483333333323</v>
      </c>
      <c r="E52" s="72"/>
      <c r="F52" s="71"/>
      <c r="G52" s="71">
        <f>G48+G41+G31+G23+G15</f>
        <v>40273</v>
      </c>
      <c r="H52" s="71">
        <f>H48+H41+H31+H23+H15</f>
        <v>38826.666666666664</v>
      </c>
      <c r="I52" s="72"/>
      <c r="J52" s="73"/>
      <c r="K52" s="71">
        <f>K48+K41+K31+K23+K15</f>
        <v>76363.583333333328</v>
      </c>
      <c r="L52" s="71">
        <f>L48+L41+L31+L23+L15</f>
        <v>80466</v>
      </c>
      <c r="M52" s="73"/>
      <c r="N52" s="71"/>
      <c r="O52" s="71">
        <f>O48+O41+O31+O23+O15</f>
        <v>32141.5</v>
      </c>
      <c r="P52" s="71">
        <f>P48+P41+P31+P23+P15</f>
        <v>27705.75</v>
      </c>
      <c r="Q52" s="73"/>
      <c r="R52" s="71"/>
    </row>
    <row r="53" spans="2:22">
      <c r="C53" s="71" t="b">
        <f>C52=C49</f>
        <v>1</v>
      </c>
      <c r="D53" s="71" t="b">
        <f>D52=D49</f>
        <v>1</v>
      </c>
      <c r="E53" s="72"/>
      <c r="F53" s="71"/>
      <c r="G53" s="71" t="b">
        <f>G52=G49</f>
        <v>1</v>
      </c>
      <c r="H53" s="71" t="b">
        <f>H52=H49</f>
        <v>1</v>
      </c>
      <c r="I53" s="72"/>
      <c r="J53" s="73"/>
      <c r="K53" s="71" t="b">
        <f>K52=K49</f>
        <v>1</v>
      </c>
      <c r="L53" s="71" t="b">
        <f>L52=L49</f>
        <v>1</v>
      </c>
      <c r="M53" s="73"/>
      <c r="N53" s="71"/>
      <c r="O53" s="71" t="b">
        <f>O52=O49</f>
        <v>1</v>
      </c>
      <c r="P53" s="71" t="b">
        <f>P52=P49</f>
        <v>1</v>
      </c>
      <c r="Q53" s="73"/>
      <c r="R53" s="71"/>
    </row>
  </sheetData>
  <sortState ref="B3:N607">
    <sortCondition ref="B3:B607"/>
  </sortState>
  <pageMargins left="0.25" right="0.25" top="0.75" bottom="0.75" header="0.3" footer="0.3"/>
  <pageSetup paperSize="8" scale="77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workbookViewId="0">
      <pane ySplit="1" topLeftCell="A2" activePane="bottomLeft" state="frozenSplit"/>
      <selection pane="bottomLeft" activeCell="D1" sqref="D1"/>
    </sheetView>
  </sheetViews>
  <sheetFormatPr defaultColWidth="9.140625" defaultRowHeight="15"/>
  <cols>
    <col min="1" max="1" width="8.42578125" style="12" customWidth="1"/>
    <col min="2" max="2" width="13.7109375" style="12" customWidth="1"/>
    <col min="3" max="3" width="20" style="12" customWidth="1"/>
    <col min="4" max="4" width="19.140625" style="12" customWidth="1"/>
    <col min="5" max="5" width="18.85546875" style="12" customWidth="1"/>
    <col min="6" max="6" width="8.85546875"/>
    <col min="7" max="7" width="20" style="12" bestFit="1" customWidth="1"/>
    <col min="8" max="8" width="8.85546875"/>
    <col min="9" max="9" width="20" style="12" bestFit="1" customWidth="1"/>
    <col min="10" max="10" width="9.140625" style="12"/>
    <col min="11" max="11" width="11.140625" style="12" customWidth="1"/>
    <col min="12" max="12" width="58.85546875" style="12" customWidth="1"/>
    <col min="13" max="16384" width="9.140625" style="12"/>
  </cols>
  <sheetData>
    <row r="1" spans="1:8" s="13" customFormat="1">
      <c r="A1" s="13" t="s">
        <v>133</v>
      </c>
      <c r="B1" s="13" t="s">
        <v>134</v>
      </c>
      <c r="C1" s="13" t="s">
        <v>135</v>
      </c>
      <c r="D1" s="13" t="s">
        <v>136</v>
      </c>
      <c r="E1" s="13" t="s">
        <v>137</v>
      </c>
    </row>
    <row r="2" spans="1:8">
      <c r="A2" s="12" t="s">
        <v>138</v>
      </c>
      <c r="B2" s="12">
        <v>201908</v>
      </c>
      <c r="C2" s="109" t="s">
        <v>126</v>
      </c>
      <c r="D2" s="12">
        <v>832</v>
      </c>
      <c r="E2" s="12">
        <v>961</v>
      </c>
      <c r="F2" s="12"/>
      <c r="H2" s="12"/>
    </row>
    <row r="3" spans="1:8">
      <c r="A3" s="12" t="s">
        <v>138</v>
      </c>
      <c r="B3" s="12">
        <v>201908</v>
      </c>
      <c r="C3" s="109" t="s">
        <v>128</v>
      </c>
      <c r="D3" s="12">
        <v>259</v>
      </c>
      <c r="E3" s="12">
        <v>434</v>
      </c>
      <c r="F3" s="12"/>
      <c r="H3" s="12"/>
    </row>
    <row r="4" spans="1:8">
      <c r="A4" s="12" t="s">
        <v>138</v>
      </c>
      <c r="B4" s="12">
        <v>201908</v>
      </c>
      <c r="C4" s="109" t="s">
        <v>97</v>
      </c>
      <c r="D4" s="12">
        <v>922</v>
      </c>
      <c r="E4" s="12">
        <v>1023</v>
      </c>
      <c r="F4" s="12"/>
      <c r="H4" s="12"/>
    </row>
    <row r="5" spans="1:8">
      <c r="A5" s="12" t="s">
        <v>138</v>
      </c>
      <c r="B5" s="12">
        <v>201908</v>
      </c>
      <c r="C5" s="109" t="s">
        <v>99</v>
      </c>
      <c r="D5" s="12">
        <v>722</v>
      </c>
      <c r="E5" s="12">
        <v>775</v>
      </c>
      <c r="F5" s="12"/>
      <c r="H5" s="12"/>
    </row>
    <row r="6" spans="1:8">
      <c r="A6" s="12" t="s">
        <v>138</v>
      </c>
      <c r="B6" s="12">
        <v>201908</v>
      </c>
      <c r="C6" s="109" t="s">
        <v>272</v>
      </c>
      <c r="D6" s="12">
        <v>3</v>
      </c>
      <c r="E6" s="12">
        <v>0</v>
      </c>
      <c r="F6" s="12"/>
      <c r="H6" s="12"/>
    </row>
    <row r="7" spans="1:8">
      <c r="A7" s="12" t="s">
        <v>138</v>
      </c>
      <c r="B7" s="12">
        <v>201908</v>
      </c>
      <c r="C7" s="109" t="s">
        <v>101</v>
      </c>
      <c r="D7" s="12">
        <v>759</v>
      </c>
      <c r="E7" s="12">
        <v>775</v>
      </c>
      <c r="F7" s="12"/>
      <c r="H7" s="12"/>
    </row>
    <row r="8" spans="1:8">
      <c r="A8" s="12" t="s">
        <v>138</v>
      </c>
      <c r="B8" s="12">
        <v>201908</v>
      </c>
      <c r="C8" s="109" t="s">
        <v>104</v>
      </c>
      <c r="D8" s="12">
        <v>619</v>
      </c>
      <c r="E8" s="12">
        <v>620</v>
      </c>
      <c r="F8" s="12"/>
      <c r="H8" s="12"/>
    </row>
    <row r="9" spans="1:8">
      <c r="A9" s="12" t="s">
        <v>138</v>
      </c>
      <c r="B9" s="12">
        <v>201908</v>
      </c>
      <c r="C9" s="109" t="s">
        <v>117</v>
      </c>
      <c r="D9" s="12">
        <v>564</v>
      </c>
      <c r="E9" s="12">
        <v>620</v>
      </c>
      <c r="F9" s="12"/>
      <c r="H9" s="12"/>
    </row>
    <row r="10" spans="1:8">
      <c r="A10" s="12" t="s">
        <v>138</v>
      </c>
      <c r="B10" s="12">
        <v>201908</v>
      </c>
      <c r="C10" s="109" t="s">
        <v>118</v>
      </c>
      <c r="D10" s="12">
        <v>499</v>
      </c>
      <c r="E10" s="12">
        <v>558</v>
      </c>
      <c r="F10" s="12"/>
      <c r="H10" s="12"/>
    </row>
    <row r="11" spans="1:8">
      <c r="A11" s="12" t="s">
        <v>138</v>
      </c>
      <c r="B11" s="12">
        <v>201908</v>
      </c>
      <c r="C11" s="109" t="s">
        <v>119</v>
      </c>
      <c r="D11" s="12">
        <v>593</v>
      </c>
      <c r="E11" s="12">
        <v>682</v>
      </c>
      <c r="F11" s="12"/>
      <c r="H11" s="12"/>
    </row>
    <row r="12" spans="1:8">
      <c r="A12" s="12" t="s">
        <v>138</v>
      </c>
      <c r="B12" s="12">
        <v>201908</v>
      </c>
      <c r="C12" s="109" t="s">
        <v>145</v>
      </c>
      <c r="D12" s="12">
        <v>31</v>
      </c>
      <c r="E12" s="12">
        <v>0</v>
      </c>
      <c r="F12" s="12"/>
      <c r="H12" s="12"/>
    </row>
    <row r="13" spans="1:8">
      <c r="A13" s="12" t="s">
        <v>138</v>
      </c>
      <c r="B13" s="12">
        <v>201908</v>
      </c>
      <c r="C13" s="109" t="s">
        <v>120</v>
      </c>
      <c r="D13" s="12">
        <v>578</v>
      </c>
      <c r="E13" s="12">
        <v>713</v>
      </c>
      <c r="F13" s="12"/>
      <c r="H13" s="12"/>
    </row>
    <row r="14" spans="1:8">
      <c r="A14" s="12" t="s">
        <v>138</v>
      </c>
      <c r="B14" s="12">
        <v>201908</v>
      </c>
      <c r="C14" s="109" t="s">
        <v>122</v>
      </c>
      <c r="D14" s="12">
        <v>965</v>
      </c>
      <c r="E14" s="12">
        <v>992</v>
      </c>
      <c r="F14" s="12"/>
      <c r="H14" s="12"/>
    </row>
    <row r="15" spans="1:8">
      <c r="A15" s="12" t="s">
        <v>138</v>
      </c>
      <c r="B15" s="12">
        <v>201908</v>
      </c>
      <c r="C15" s="109" t="s">
        <v>106</v>
      </c>
      <c r="D15" s="12">
        <v>737</v>
      </c>
      <c r="E15" s="12">
        <v>744</v>
      </c>
      <c r="F15" s="12"/>
      <c r="H15" s="12"/>
    </row>
    <row r="16" spans="1:8">
      <c r="A16" s="12" t="s">
        <v>138</v>
      </c>
      <c r="B16" s="12">
        <v>201908</v>
      </c>
      <c r="C16" s="109" t="s">
        <v>109</v>
      </c>
      <c r="D16" s="12">
        <v>267</v>
      </c>
      <c r="E16" s="12">
        <v>341</v>
      </c>
      <c r="F16" s="12"/>
      <c r="H16" s="12"/>
    </row>
    <row r="17" spans="1:8">
      <c r="A17" s="12" t="s">
        <v>138</v>
      </c>
      <c r="B17" s="12">
        <v>201908</v>
      </c>
      <c r="C17" s="109" t="s">
        <v>111</v>
      </c>
      <c r="D17" s="12">
        <v>722</v>
      </c>
      <c r="E17" s="12">
        <v>744</v>
      </c>
      <c r="F17" s="12"/>
      <c r="H17" s="12"/>
    </row>
    <row r="18" spans="1:8">
      <c r="A18" s="12" t="s">
        <v>138</v>
      </c>
      <c r="B18" s="12">
        <v>201908</v>
      </c>
      <c r="C18" s="109" t="s">
        <v>113</v>
      </c>
      <c r="D18" s="12">
        <v>726</v>
      </c>
      <c r="E18" s="12">
        <v>744</v>
      </c>
      <c r="F18" s="12"/>
      <c r="H18" s="12"/>
    </row>
    <row r="19" spans="1:8">
      <c r="A19" s="12" t="s">
        <v>138</v>
      </c>
      <c r="B19" s="12">
        <v>201908</v>
      </c>
      <c r="C19" s="109" t="s">
        <v>265</v>
      </c>
      <c r="D19" s="12">
        <v>1</v>
      </c>
      <c r="E19" s="12">
        <v>0</v>
      </c>
      <c r="F19" s="12"/>
      <c r="H19" s="12"/>
    </row>
    <row r="20" spans="1:8">
      <c r="A20" s="12" t="s">
        <v>138</v>
      </c>
      <c r="B20" s="12">
        <v>201908</v>
      </c>
      <c r="C20" s="109" t="s">
        <v>244</v>
      </c>
      <c r="D20" s="12">
        <v>361</v>
      </c>
      <c r="E20" s="12">
        <v>558</v>
      </c>
      <c r="F20" s="12"/>
      <c r="H20" s="12"/>
    </row>
    <row r="21" spans="1:8">
      <c r="A21" s="12" t="s">
        <v>138</v>
      </c>
      <c r="B21" s="12">
        <v>201908</v>
      </c>
      <c r="C21" s="109" t="s">
        <v>245</v>
      </c>
      <c r="D21" s="12">
        <v>192</v>
      </c>
      <c r="E21" s="12">
        <v>279</v>
      </c>
      <c r="F21" s="12"/>
      <c r="H21" s="12"/>
    </row>
    <row r="22" spans="1:8">
      <c r="A22" s="12" t="s">
        <v>138</v>
      </c>
      <c r="B22" s="12">
        <v>201908</v>
      </c>
      <c r="C22" s="109" t="s">
        <v>246</v>
      </c>
      <c r="D22" s="12">
        <v>705</v>
      </c>
      <c r="E22" s="12">
        <v>992</v>
      </c>
      <c r="F22" s="12"/>
      <c r="H22" s="12"/>
    </row>
    <row r="23" spans="1:8">
      <c r="A23" s="12" t="s">
        <v>138</v>
      </c>
      <c r="B23" s="12">
        <v>201908</v>
      </c>
      <c r="C23" s="109" t="s">
        <v>266</v>
      </c>
      <c r="D23" s="12">
        <v>1</v>
      </c>
      <c r="E23" s="12">
        <v>0</v>
      </c>
      <c r="F23" s="12"/>
      <c r="H23" s="12"/>
    </row>
    <row r="24" spans="1:8">
      <c r="A24" s="12" t="s">
        <v>138</v>
      </c>
      <c r="B24" s="12">
        <v>201908</v>
      </c>
      <c r="C24" s="109" t="s">
        <v>247</v>
      </c>
      <c r="D24" s="12">
        <v>388</v>
      </c>
      <c r="E24" s="12">
        <v>434</v>
      </c>
      <c r="F24" s="12"/>
      <c r="H24" s="12"/>
    </row>
    <row r="25" spans="1:8">
      <c r="A25" s="12" t="s">
        <v>138</v>
      </c>
      <c r="B25" s="12">
        <v>201908</v>
      </c>
      <c r="C25" s="109" t="s">
        <v>273</v>
      </c>
      <c r="D25" s="12">
        <v>1</v>
      </c>
      <c r="E25" s="12">
        <v>0</v>
      </c>
      <c r="F25" s="12"/>
      <c r="H25" s="12"/>
    </row>
    <row r="26" spans="1:8">
      <c r="A26" s="12" t="s">
        <v>138</v>
      </c>
      <c r="B26" s="12">
        <v>201908</v>
      </c>
      <c r="C26" s="109" t="s">
        <v>274</v>
      </c>
      <c r="D26" s="12">
        <v>1</v>
      </c>
      <c r="E26" s="12">
        <v>0</v>
      </c>
      <c r="F26" s="12"/>
      <c r="H26" s="12"/>
    </row>
    <row r="27" spans="1:8">
      <c r="A27" s="12" t="s">
        <v>138</v>
      </c>
      <c r="B27" s="12">
        <v>201908</v>
      </c>
      <c r="C27" s="109" t="s">
        <v>107</v>
      </c>
      <c r="D27" s="12">
        <v>915</v>
      </c>
      <c r="E27" s="12">
        <v>930</v>
      </c>
      <c r="F27" s="12"/>
      <c r="H27" s="12"/>
    </row>
    <row r="28" spans="1:8">
      <c r="A28" s="12" t="s">
        <v>138</v>
      </c>
      <c r="B28" s="12">
        <v>201908</v>
      </c>
      <c r="C28" s="109" t="s">
        <v>108</v>
      </c>
      <c r="D28" s="12">
        <v>921</v>
      </c>
      <c r="E28" s="12">
        <v>930</v>
      </c>
      <c r="F28" s="12"/>
      <c r="H28" s="12"/>
    </row>
    <row r="29" spans="1:8">
      <c r="A29" s="12" t="s">
        <v>138</v>
      </c>
      <c r="B29" s="12">
        <v>201908</v>
      </c>
      <c r="C29" s="109" t="s">
        <v>275</v>
      </c>
      <c r="D29" s="12">
        <v>1</v>
      </c>
      <c r="E29" s="12">
        <v>0</v>
      </c>
      <c r="F29" s="12"/>
      <c r="H29" s="12"/>
    </row>
    <row r="30" spans="1:8">
      <c r="A30" s="12" t="s">
        <v>138</v>
      </c>
      <c r="B30" s="12">
        <v>201908</v>
      </c>
      <c r="C30" s="109" t="s">
        <v>125</v>
      </c>
      <c r="D30" s="12">
        <v>912</v>
      </c>
      <c r="E30" s="12">
        <v>1178</v>
      </c>
      <c r="F30" s="12"/>
      <c r="H30" s="12"/>
    </row>
    <row r="31" spans="1:8">
      <c r="A31" s="12" t="s">
        <v>138</v>
      </c>
      <c r="B31" s="12">
        <v>201908</v>
      </c>
      <c r="C31" s="109" t="s">
        <v>127</v>
      </c>
      <c r="D31" s="12">
        <v>247</v>
      </c>
      <c r="E31" s="12">
        <v>496</v>
      </c>
      <c r="F31" s="12"/>
      <c r="H31" s="12"/>
    </row>
    <row r="32" spans="1:8">
      <c r="A32" s="12" t="s">
        <v>138</v>
      </c>
      <c r="B32" s="12">
        <v>201908</v>
      </c>
      <c r="C32" s="109" t="s">
        <v>139</v>
      </c>
      <c r="D32" s="12">
        <v>57</v>
      </c>
      <c r="E32" s="12">
        <v>0</v>
      </c>
      <c r="F32" s="12"/>
      <c r="H32" s="12"/>
    </row>
    <row r="33" spans="1:8">
      <c r="A33" s="12" t="s">
        <v>138</v>
      </c>
      <c r="B33" s="12">
        <v>201908</v>
      </c>
      <c r="C33" s="109" t="s">
        <v>129</v>
      </c>
      <c r="D33" s="12">
        <v>400</v>
      </c>
      <c r="E33" s="12">
        <v>682</v>
      </c>
      <c r="F33" s="12"/>
      <c r="H33" s="12"/>
    </row>
    <row r="34" spans="1:8">
      <c r="A34" s="12" t="s">
        <v>138</v>
      </c>
      <c r="B34" s="12">
        <v>201908</v>
      </c>
      <c r="C34" s="109" t="s">
        <v>140</v>
      </c>
      <c r="D34" s="12">
        <v>206</v>
      </c>
      <c r="E34" s="12">
        <v>0</v>
      </c>
      <c r="F34" s="12"/>
      <c r="H34" s="12"/>
    </row>
    <row r="35" spans="1:8">
      <c r="A35" s="12" t="s">
        <v>138</v>
      </c>
      <c r="B35" s="12">
        <v>201908</v>
      </c>
      <c r="C35" s="109" t="s">
        <v>98</v>
      </c>
      <c r="D35" s="12">
        <v>910</v>
      </c>
      <c r="E35" s="12">
        <v>930</v>
      </c>
      <c r="F35" s="12"/>
      <c r="H35" s="12"/>
    </row>
    <row r="36" spans="1:8">
      <c r="A36" s="12" t="s">
        <v>138</v>
      </c>
      <c r="B36" s="12">
        <v>201908</v>
      </c>
      <c r="C36" s="109" t="s">
        <v>257</v>
      </c>
      <c r="D36" s="12">
        <v>12</v>
      </c>
      <c r="E36" s="12">
        <v>0</v>
      </c>
      <c r="F36" s="12"/>
      <c r="H36" s="12"/>
    </row>
    <row r="37" spans="1:8">
      <c r="A37" s="12" t="s">
        <v>138</v>
      </c>
      <c r="B37" s="12">
        <v>201908</v>
      </c>
      <c r="C37" s="109" t="s">
        <v>141</v>
      </c>
      <c r="D37" s="12">
        <v>2</v>
      </c>
      <c r="E37" s="12">
        <v>0</v>
      </c>
      <c r="F37" s="12"/>
      <c r="H37" s="12"/>
    </row>
    <row r="38" spans="1:8">
      <c r="A38" s="12" t="s">
        <v>138</v>
      </c>
      <c r="B38" s="12">
        <v>201908</v>
      </c>
      <c r="C38" s="109" t="s">
        <v>263</v>
      </c>
      <c r="D38" s="12">
        <v>31</v>
      </c>
      <c r="E38" s="12">
        <v>0</v>
      </c>
      <c r="F38" s="12"/>
      <c r="H38" s="12"/>
    </row>
    <row r="39" spans="1:8">
      <c r="A39" s="12" t="s">
        <v>138</v>
      </c>
      <c r="B39" s="12">
        <v>201908</v>
      </c>
      <c r="C39" s="109" t="s">
        <v>100</v>
      </c>
      <c r="D39" s="12">
        <v>517</v>
      </c>
      <c r="E39" s="12">
        <v>527</v>
      </c>
      <c r="F39" s="12"/>
      <c r="H39" s="12"/>
    </row>
    <row r="40" spans="1:8">
      <c r="A40" s="12" t="s">
        <v>138</v>
      </c>
      <c r="B40" s="12">
        <v>201908</v>
      </c>
      <c r="C40" s="109" t="s">
        <v>102</v>
      </c>
      <c r="D40" s="12">
        <v>617</v>
      </c>
      <c r="E40" s="12">
        <v>620</v>
      </c>
      <c r="F40" s="12"/>
      <c r="H40" s="12"/>
    </row>
    <row r="41" spans="1:8">
      <c r="A41" s="12" t="s">
        <v>138</v>
      </c>
      <c r="B41" s="12">
        <v>201908</v>
      </c>
      <c r="C41" s="109" t="s">
        <v>103</v>
      </c>
      <c r="D41" s="12">
        <v>404</v>
      </c>
      <c r="E41" s="12">
        <v>434</v>
      </c>
      <c r="F41" s="12"/>
      <c r="H41" s="12"/>
    </row>
    <row r="42" spans="1:8">
      <c r="A42" s="12" t="s">
        <v>138</v>
      </c>
      <c r="B42" s="12">
        <v>201908</v>
      </c>
      <c r="C42" s="109" t="s">
        <v>105</v>
      </c>
      <c r="D42" s="12">
        <v>559</v>
      </c>
      <c r="E42" s="12">
        <v>558</v>
      </c>
      <c r="F42" s="12"/>
      <c r="H42" s="12"/>
    </row>
    <row r="43" spans="1:8">
      <c r="A43" s="12" t="s">
        <v>138</v>
      </c>
      <c r="B43" s="12">
        <v>201908</v>
      </c>
      <c r="C43" s="109" t="s">
        <v>142</v>
      </c>
      <c r="D43" s="12">
        <v>8</v>
      </c>
      <c r="E43" s="12">
        <v>0</v>
      </c>
      <c r="F43" s="12"/>
      <c r="H43" s="12"/>
    </row>
    <row r="44" spans="1:8">
      <c r="A44" s="12" t="s">
        <v>138</v>
      </c>
      <c r="B44" s="12">
        <v>201908</v>
      </c>
      <c r="C44" s="109" t="s">
        <v>121</v>
      </c>
      <c r="D44" s="12">
        <v>834</v>
      </c>
      <c r="E44" s="12">
        <v>992</v>
      </c>
      <c r="F44" s="12"/>
      <c r="H44" s="12"/>
    </row>
    <row r="45" spans="1:8">
      <c r="A45" s="12" t="s">
        <v>138</v>
      </c>
      <c r="B45" s="12">
        <v>201908</v>
      </c>
      <c r="C45" s="109" t="s">
        <v>143</v>
      </c>
      <c r="D45" s="12">
        <v>13</v>
      </c>
      <c r="E45" s="12">
        <v>0</v>
      </c>
      <c r="F45" s="12"/>
      <c r="H45" s="12"/>
    </row>
    <row r="46" spans="1:8">
      <c r="A46" s="12" t="s">
        <v>138</v>
      </c>
      <c r="B46" s="12">
        <v>201908</v>
      </c>
      <c r="C46" s="109" t="s">
        <v>264</v>
      </c>
      <c r="D46" s="12">
        <v>1</v>
      </c>
      <c r="E46" s="12">
        <v>0</v>
      </c>
      <c r="F46" s="12"/>
      <c r="H46" s="12"/>
    </row>
    <row r="47" spans="1:8">
      <c r="A47" s="12" t="s">
        <v>138</v>
      </c>
      <c r="B47" s="12">
        <v>201908</v>
      </c>
      <c r="C47" s="109" t="s">
        <v>110</v>
      </c>
      <c r="D47" s="12">
        <v>698</v>
      </c>
      <c r="E47" s="12">
        <v>744</v>
      </c>
      <c r="F47" s="12"/>
      <c r="H47" s="12"/>
    </row>
    <row r="48" spans="1:8">
      <c r="A48" s="12" t="s">
        <v>138</v>
      </c>
      <c r="B48" s="12">
        <v>201908</v>
      </c>
      <c r="C48" s="109" t="s">
        <v>112</v>
      </c>
      <c r="D48" s="12">
        <v>702</v>
      </c>
      <c r="E48" s="12">
        <v>713</v>
      </c>
      <c r="F48" s="12"/>
      <c r="H48" s="12"/>
    </row>
    <row r="49" spans="1:12">
      <c r="A49" s="12" t="s">
        <v>138</v>
      </c>
      <c r="B49" s="12">
        <v>201908</v>
      </c>
      <c r="C49" s="109" t="s">
        <v>96</v>
      </c>
      <c r="D49" s="12">
        <v>764</v>
      </c>
      <c r="E49" s="12">
        <v>744</v>
      </c>
      <c r="F49" s="12"/>
      <c r="H49" s="12"/>
    </row>
    <row r="50" spans="1:12">
      <c r="A50" s="12" t="s">
        <v>138</v>
      </c>
      <c r="B50" s="12">
        <v>201908</v>
      </c>
      <c r="C50" s="109" t="s">
        <v>276</v>
      </c>
      <c r="D50" s="12">
        <v>4</v>
      </c>
      <c r="E50" s="12">
        <v>0</v>
      </c>
      <c r="F50" s="12"/>
      <c r="H50" s="12"/>
    </row>
    <row r="51" spans="1:12">
      <c r="A51" s="12" t="s">
        <v>138</v>
      </c>
      <c r="B51" s="12">
        <v>201908</v>
      </c>
      <c r="C51" s="109" t="s">
        <v>114</v>
      </c>
      <c r="D51" s="12">
        <v>868</v>
      </c>
      <c r="E51" s="12">
        <v>992</v>
      </c>
      <c r="F51" s="12"/>
      <c r="H51" s="12"/>
    </row>
    <row r="52" spans="1:12">
      <c r="A52" s="12" t="s">
        <v>138</v>
      </c>
      <c r="B52" s="12">
        <v>201908</v>
      </c>
      <c r="C52" s="109" t="s">
        <v>115</v>
      </c>
      <c r="D52" s="12">
        <v>721</v>
      </c>
      <c r="E52" s="12">
        <v>744</v>
      </c>
      <c r="F52" s="12"/>
      <c r="H52" s="12"/>
    </row>
    <row r="53" spans="1:12">
      <c r="A53" s="12" t="s">
        <v>138</v>
      </c>
      <c r="B53" s="12">
        <v>201908</v>
      </c>
      <c r="C53" s="109" t="s">
        <v>248</v>
      </c>
      <c r="D53" s="12">
        <v>120</v>
      </c>
      <c r="E53" s="12">
        <v>248</v>
      </c>
      <c r="F53" s="12"/>
      <c r="H53" s="12"/>
    </row>
    <row r="54" spans="1:12">
      <c r="A54" s="109" t="s">
        <v>138</v>
      </c>
      <c r="B54" s="109">
        <v>201908</v>
      </c>
      <c r="C54" s="109" t="s">
        <v>249</v>
      </c>
      <c r="D54" s="109">
        <v>335</v>
      </c>
      <c r="E54" s="109">
        <v>372</v>
      </c>
      <c r="H54" s="12"/>
    </row>
    <row r="55" spans="1:12">
      <c r="A55" s="109" t="s">
        <v>138</v>
      </c>
      <c r="B55" s="109">
        <v>201908</v>
      </c>
      <c r="C55" s="109" t="s">
        <v>250</v>
      </c>
      <c r="D55" s="109">
        <v>189</v>
      </c>
      <c r="E55" s="109">
        <v>248</v>
      </c>
      <c r="H55" s="12"/>
    </row>
    <row r="56" spans="1:12">
      <c r="A56" s="109" t="s">
        <v>138</v>
      </c>
      <c r="B56" s="109">
        <v>201908</v>
      </c>
      <c r="C56" s="109" t="s">
        <v>251</v>
      </c>
      <c r="D56" s="109">
        <v>234</v>
      </c>
      <c r="E56" s="109">
        <v>310</v>
      </c>
      <c r="H56" s="12"/>
    </row>
    <row r="57" spans="1:12">
      <c r="A57" s="109" t="s">
        <v>138</v>
      </c>
      <c r="B57" s="109">
        <v>201908</v>
      </c>
      <c r="C57" s="109" t="s">
        <v>252</v>
      </c>
      <c r="D57" s="109">
        <v>382</v>
      </c>
      <c r="E57" s="109">
        <v>496</v>
      </c>
      <c r="H57" s="12"/>
    </row>
    <row r="58" spans="1:12">
      <c r="A58" s="109" t="s">
        <v>138</v>
      </c>
      <c r="B58" s="109">
        <v>201908</v>
      </c>
      <c r="C58" s="109" t="s">
        <v>253</v>
      </c>
      <c r="D58" s="109">
        <v>457</v>
      </c>
      <c r="E58" s="109">
        <v>682</v>
      </c>
      <c r="H58" s="12"/>
    </row>
    <row r="59" spans="1:12">
      <c r="A59" s="109" t="s">
        <v>138</v>
      </c>
      <c r="B59" s="109">
        <v>201908</v>
      </c>
      <c r="C59" s="109" t="s">
        <v>277</v>
      </c>
      <c r="D59" s="109">
        <v>4</v>
      </c>
      <c r="E59" s="109">
        <v>0</v>
      </c>
      <c r="H59" s="12"/>
    </row>
    <row r="60" spans="1:12">
      <c r="A60" s="109" t="s">
        <v>138</v>
      </c>
      <c r="B60" s="109">
        <v>201908</v>
      </c>
      <c r="C60" s="109" t="s">
        <v>254</v>
      </c>
      <c r="D60" s="109">
        <v>383</v>
      </c>
      <c r="E60" s="109">
        <v>496</v>
      </c>
      <c r="H60" s="12"/>
    </row>
    <row r="61" spans="1:12">
      <c r="A61" s="109" t="s">
        <v>138</v>
      </c>
      <c r="B61" s="109">
        <v>201908</v>
      </c>
      <c r="C61" s="109" t="s">
        <v>116</v>
      </c>
      <c r="D61" s="109">
        <v>276</v>
      </c>
      <c r="E61" s="109">
        <v>341</v>
      </c>
      <c r="H61" s="12"/>
    </row>
    <row r="62" spans="1:12">
      <c r="A62" s="109" t="s">
        <v>138</v>
      </c>
      <c r="B62" s="109">
        <v>201908</v>
      </c>
      <c r="C62" s="109" t="s">
        <v>124</v>
      </c>
      <c r="D62" s="109">
        <v>27</v>
      </c>
      <c r="E62" s="109">
        <v>124</v>
      </c>
      <c r="H62" s="12"/>
    </row>
    <row r="63" spans="1:12">
      <c r="A63" s="109" t="s">
        <v>138</v>
      </c>
      <c r="B63" s="109">
        <v>201908</v>
      </c>
      <c r="C63" s="109" t="s">
        <v>144</v>
      </c>
      <c r="D63" s="109">
        <v>12</v>
      </c>
      <c r="E63" s="109">
        <v>0</v>
      </c>
      <c r="H63" s="12"/>
      <c r="L63" s="98" t="s">
        <v>235</v>
      </c>
    </row>
    <row r="64" spans="1:12">
      <c r="A64" s="109" t="s">
        <v>138</v>
      </c>
      <c r="B64" s="109">
        <v>201908</v>
      </c>
      <c r="C64" s="109" t="s">
        <v>278</v>
      </c>
      <c r="D64" s="109">
        <v>4</v>
      </c>
      <c r="E64" s="109">
        <v>0</v>
      </c>
      <c r="H64" s="12"/>
      <c r="L64" s="98" t="s">
        <v>236</v>
      </c>
    </row>
    <row r="65" spans="1:12">
      <c r="A65" s="109" t="s">
        <v>138</v>
      </c>
      <c r="B65" s="109">
        <v>201908</v>
      </c>
      <c r="C65" s="109" t="s">
        <v>279</v>
      </c>
      <c r="D65" s="109">
        <v>6</v>
      </c>
      <c r="E65" s="109">
        <v>0</v>
      </c>
      <c r="H65" s="12"/>
      <c r="L65" s="98" t="s">
        <v>237</v>
      </c>
    </row>
    <row r="66" spans="1:12">
      <c r="F66" s="12"/>
      <c r="G66"/>
      <c r="H66" s="12"/>
      <c r="L66" s="98" t="s">
        <v>238</v>
      </c>
    </row>
    <row r="67" spans="1:12">
      <c r="F67" s="12"/>
      <c r="G67"/>
      <c r="H67" s="12"/>
      <c r="L67" s="98" t="s">
        <v>239</v>
      </c>
    </row>
    <row r="68" spans="1:12">
      <c r="F68" s="12"/>
      <c r="G68"/>
      <c r="H68" s="12"/>
      <c r="L68" s="98" t="s">
        <v>240</v>
      </c>
    </row>
    <row r="69" spans="1:12">
      <c r="C69" s="112"/>
      <c r="D69" s="111"/>
      <c r="E69" s="111"/>
      <c r="F69" s="12"/>
      <c r="G69"/>
      <c r="H69" s="12"/>
      <c r="L69" s="98" t="s">
        <v>241</v>
      </c>
    </row>
    <row r="70" spans="1:12">
      <c r="F70" s="12"/>
      <c r="G70"/>
      <c r="H70" s="12"/>
      <c r="L70" s="98" t="s">
        <v>242</v>
      </c>
    </row>
    <row r="71" spans="1:12">
      <c r="L71" s="98" t="s">
        <v>243</v>
      </c>
    </row>
    <row r="73" spans="1:12">
      <c r="C73" s="111" t="s">
        <v>255</v>
      </c>
      <c r="D73" s="111">
        <f>SUMIF($C$2:$C$71,"E406A",D$2:D$71) + SUMIF($C$2:$C$71,"E406B",D$2:D$71)</f>
        <v>192</v>
      </c>
      <c r="E73" s="111">
        <f>SUMIF($C$2:$C$71,"E406A",E$2:E$71) + SUMIF($C$2:$C$71,"E406B",E$2:E$71)</f>
        <v>279</v>
      </c>
    </row>
    <row r="74" spans="1:12">
      <c r="C74" s="111" t="s">
        <v>256</v>
      </c>
      <c r="D74" s="111">
        <f>SUMIF($C$2:$C$71,"E500",D$2:D$71) + SUMIF($C$2:$C$71,"E501",D$2:D$71)</f>
        <v>524</v>
      </c>
      <c r="E74" s="111">
        <f>SUMIF($C$2:$C$71,"E500",E$2:E$71) + SUMIF($C$2:$C$71,"E501",E$2:E$71)</f>
        <v>620</v>
      </c>
    </row>
    <row r="77" spans="1:12">
      <c r="C77" s="14"/>
      <c r="E77" s="14"/>
    </row>
    <row r="78" spans="1:12">
      <c r="C78" s="14"/>
      <c r="E78" s="14"/>
    </row>
    <row r="79" spans="1:12">
      <c r="C79" s="112"/>
      <c r="D79" s="111"/>
      <c r="E79" s="111"/>
    </row>
    <row r="80" spans="1:12">
      <c r="C80" s="112"/>
      <c r="D80" s="111"/>
      <c r="E80" s="111"/>
    </row>
    <row r="81" spans="3:5">
      <c r="C81" s="112"/>
      <c r="D81" s="111"/>
      <c r="E81" s="111"/>
    </row>
    <row r="82" spans="3:5">
      <c r="C82" s="112"/>
      <c r="D82" s="111"/>
      <c r="E82" s="111"/>
    </row>
    <row r="83" spans="3:5">
      <c r="C83" s="112"/>
      <c r="D83" s="111"/>
      <c r="E83" s="111"/>
    </row>
    <row r="84" spans="3:5">
      <c r="C84" s="112"/>
      <c r="D84" s="111"/>
      <c r="E84" s="111"/>
    </row>
    <row r="85" spans="3:5">
      <c r="C85" s="112"/>
      <c r="D85" s="111"/>
      <c r="E85" s="111"/>
    </row>
    <row r="86" spans="3:5">
      <c r="C86" s="112"/>
      <c r="D86" s="111"/>
      <c r="E86" s="111"/>
    </row>
    <row r="87" spans="3:5">
      <c r="C87" s="112"/>
      <c r="D87" s="111"/>
      <c r="E87" s="111"/>
    </row>
  </sheetData>
  <pageMargins left="0.7" right="0.7" top="0.75" bottom="0.75" header="0.3" footer="0.3"/>
  <pageSetup paperSize="9" orientation="portrait" horizontalDpi="4294967292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Unify</vt:lpstr>
      <vt:lpstr>PSD</vt:lpstr>
      <vt:lpstr>CHPPD</vt:lpstr>
      <vt:lpstr>Unify Report</vt:lpstr>
      <vt:lpstr>Beddays_Data</vt:lpstr>
      <vt:lpstr>CHPPD!Print_Area</vt:lpstr>
      <vt:lpstr>'Unify Report'!Print_Area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Landon, Andy</dc:creator>
  <cp:lastModifiedBy>Landon, Andy</cp:lastModifiedBy>
  <cp:lastPrinted>2017-11-19T10:50:21Z</cp:lastPrinted>
  <dcterms:created xsi:type="dcterms:W3CDTF">2017-08-07T17:31:23Z</dcterms:created>
  <dcterms:modified xsi:type="dcterms:W3CDTF">2019-11-04T09:46:43Z</dcterms:modified>
</cp:coreProperties>
</file>