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90" windowWidth="13815" windowHeight="747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Unify!$I$2:$P$45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Beddays_Data!$A$1:$E$67</definedName>
  </definedNames>
  <calcPr calcId="145621"/>
</workbook>
</file>

<file path=xl/calcChain.xml><?xml version="1.0" encoding="utf-8"?>
<calcChain xmlns="http://schemas.openxmlformats.org/spreadsheetml/2006/main">
  <c r="L9" i="2" l="1"/>
  <c r="N9" i="2" s="1"/>
  <c r="K9" i="2"/>
  <c r="Q6" i="5" s="1"/>
  <c r="K10" i="2"/>
  <c r="K11" i="2"/>
  <c r="K12" i="2"/>
  <c r="K13" i="2"/>
  <c r="K14" i="2"/>
  <c r="K15" i="2"/>
  <c r="S5" i="1"/>
  <c r="T5" i="1"/>
  <c r="G6" i="5"/>
  <c r="F6" i="5"/>
  <c r="E6" i="5"/>
  <c r="D6" i="5"/>
  <c r="A5" i="1"/>
  <c r="U5" i="1" l="1"/>
  <c r="M9" i="2"/>
  <c r="V5" i="1"/>
  <c r="O53" i="1"/>
  <c r="O54" i="1" s="1"/>
  <c r="U50" i="1" l="1"/>
  <c r="V50" i="1"/>
  <c r="S2" i="1"/>
  <c r="T2" i="1"/>
  <c r="S3" i="1"/>
  <c r="T3" i="1"/>
  <c r="S4" i="1"/>
  <c r="T4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U14" i="1" l="1"/>
  <c r="U12" i="1"/>
  <c r="U10" i="1"/>
  <c r="U8" i="1"/>
  <c r="U6" i="1"/>
  <c r="U3" i="1"/>
  <c r="U15" i="1"/>
  <c r="U13" i="1"/>
  <c r="U11" i="1"/>
  <c r="U9" i="1"/>
  <c r="U7" i="1"/>
  <c r="U4" i="1"/>
  <c r="V2" i="1"/>
  <c r="V15" i="1"/>
  <c r="V14" i="1"/>
  <c r="V13" i="1"/>
  <c r="V12" i="1"/>
  <c r="V11" i="1"/>
  <c r="V10" i="1"/>
  <c r="V9" i="1"/>
  <c r="V8" i="1"/>
  <c r="V7" i="1"/>
  <c r="V6" i="1"/>
  <c r="V4" i="1"/>
  <c r="V3" i="1"/>
  <c r="U2" i="1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51" i="2"/>
  <c r="K51" i="2"/>
  <c r="L50" i="2"/>
  <c r="K50" i="2"/>
  <c r="L49" i="2"/>
  <c r="K49" i="2"/>
  <c r="L48" i="2"/>
  <c r="K48" i="2"/>
  <c r="L47" i="2"/>
  <c r="K47" i="2"/>
  <c r="L46" i="2"/>
  <c r="K4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19" i="2"/>
  <c r="K19" i="2"/>
  <c r="L18" i="2"/>
  <c r="K18" i="2"/>
  <c r="L17" i="2"/>
  <c r="K17" i="2"/>
  <c r="L16" i="2"/>
  <c r="K16" i="2"/>
  <c r="L15" i="2"/>
  <c r="L14" i="2"/>
  <c r="L13" i="2"/>
  <c r="L12" i="2"/>
  <c r="L11" i="2"/>
  <c r="L10" i="2"/>
  <c r="L8" i="2"/>
  <c r="K8" i="2"/>
  <c r="L7" i="2"/>
  <c r="K7" i="2"/>
  <c r="L6" i="2"/>
  <c r="K6" i="2"/>
  <c r="K20" i="2" l="1"/>
  <c r="E76" i="3"/>
  <c r="L45" i="2" s="1"/>
  <c r="D76" i="3"/>
  <c r="K45" i="2" s="1"/>
  <c r="E75" i="3" l="1"/>
  <c r="L44" i="2" s="1"/>
  <c r="D75" i="3"/>
  <c r="K44" i="2" s="1"/>
  <c r="C53" i="1" l="1"/>
  <c r="C54" i="1" s="1"/>
  <c r="T49" i="1" l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U45" i="1" l="1"/>
  <c r="U49" i="1"/>
  <c r="V41" i="1"/>
  <c r="V16" i="1"/>
  <c r="V18" i="1"/>
  <c r="V20" i="1"/>
  <c r="V22" i="1"/>
  <c r="V24" i="1"/>
  <c r="V26" i="1"/>
  <c r="V28" i="1"/>
  <c r="V30" i="1"/>
  <c r="V32" i="1"/>
  <c r="V34" i="1"/>
  <c r="V36" i="1"/>
  <c r="V38" i="1"/>
  <c r="V40" i="1"/>
  <c r="V42" i="1"/>
  <c r="V17" i="1"/>
  <c r="U21" i="1"/>
  <c r="V25" i="1"/>
  <c r="U29" i="1"/>
  <c r="V33" i="1"/>
  <c r="U37" i="1"/>
  <c r="V49" i="1"/>
  <c r="U17" i="1"/>
  <c r="V21" i="1"/>
  <c r="U25" i="1"/>
  <c r="V29" i="1"/>
  <c r="U33" i="1"/>
  <c r="V37" i="1"/>
  <c r="U41" i="1"/>
  <c r="V45" i="1"/>
  <c r="V44" i="1"/>
  <c r="V46" i="1"/>
  <c r="V48" i="1"/>
  <c r="V19" i="1"/>
  <c r="V23" i="1"/>
  <c r="V27" i="1"/>
  <c r="V31" i="1"/>
  <c r="V35" i="1"/>
  <c r="V39" i="1"/>
  <c r="V43" i="1"/>
  <c r="V47" i="1"/>
  <c r="U19" i="1"/>
  <c r="U23" i="1"/>
  <c r="U27" i="1"/>
  <c r="U31" i="1"/>
  <c r="U35" i="1"/>
  <c r="U39" i="1"/>
  <c r="U43" i="1"/>
  <c r="U47" i="1"/>
  <c r="U16" i="1"/>
  <c r="U20" i="1"/>
  <c r="U24" i="1"/>
  <c r="U28" i="1"/>
  <c r="U32" i="1"/>
  <c r="U36" i="1"/>
  <c r="U40" i="1"/>
  <c r="U44" i="1"/>
  <c r="U48" i="1"/>
  <c r="U18" i="1"/>
  <c r="U22" i="1"/>
  <c r="U26" i="1"/>
  <c r="U30" i="1"/>
  <c r="U34" i="1"/>
  <c r="U38" i="1"/>
  <c r="U42" i="1"/>
  <c r="U46" i="1"/>
  <c r="P53" i="1"/>
  <c r="P54" i="1" s="1"/>
  <c r="L53" i="1"/>
  <c r="L54" i="1" s="1"/>
  <c r="K53" i="1"/>
  <c r="K54" i="1" s="1"/>
  <c r="H53" i="1"/>
  <c r="H54" i="1" s="1"/>
  <c r="G53" i="1"/>
  <c r="G54" i="1" s="1"/>
  <c r="D53" i="1"/>
  <c r="D54" i="1" s="1"/>
  <c r="A44" i="1"/>
  <c r="A48" i="1" l="1"/>
  <c r="A2" i="1"/>
  <c r="H4" i="5" l="1"/>
  <c r="H5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3" i="5"/>
  <c r="G4" i="5"/>
  <c r="G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3" i="5"/>
  <c r="F4" i="5"/>
  <c r="F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3" i="5"/>
  <c r="E4" i="5"/>
  <c r="E5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3" i="5"/>
  <c r="D4" i="5"/>
  <c r="D5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3" i="5"/>
  <c r="Q39" i="5" l="1"/>
  <c r="N41" i="2"/>
  <c r="Q35" i="5"/>
  <c r="Q4" i="5"/>
  <c r="N7" i="2"/>
  <c r="Q5" i="5"/>
  <c r="N8" i="2"/>
  <c r="Q7" i="5"/>
  <c r="N10" i="2"/>
  <c r="Q8" i="5"/>
  <c r="Q9" i="5"/>
  <c r="N12" i="2"/>
  <c r="Q10" i="5"/>
  <c r="N13" i="2"/>
  <c r="Q11" i="5"/>
  <c r="Q12" i="5"/>
  <c r="N15" i="2"/>
  <c r="Q13" i="5"/>
  <c r="N16" i="2"/>
  <c r="Q14" i="5"/>
  <c r="N17" i="2"/>
  <c r="Q15" i="5"/>
  <c r="Q16" i="5"/>
  <c r="Q17" i="5"/>
  <c r="N21" i="2"/>
  <c r="Q18" i="5"/>
  <c r="Q19" i="5"/>
  <c r="Q20" i="5"/>
  <c r="N24" i="2"/>
  <c r="Q21" i="5"/>
  <c r="N25" i="2"/>
  <c r="Q22" i="5"/>
  <c r="N26" i="2"/>
  <c r="Q23" i="5"/>
  <c r="N27" i="2"/>
  <c r="Q24" i="5"/>
  <c r="N29" i="2"/>
  <c r="Q25" i="5"/>
  <c r="Q26" i="5"/>
  <c r="N31" i="2"/>
  <c r="Q27" i="5"/>
  <c r="N32" i="2"/>
  <c r="Q28" i="5"/>
  <c r="N33" i="2"/>
  <c r="Q29" i="5"/>
  <c r="N34" i="2"/>
  <c r="Q30" i="5"/>
  <c r="Q31" i="5"/>
  <c r="N37" i="2"/>
  <c r="Q32" i="5"/>
  <c r="N38" i="2"/>
  <c r="Q33" i="5"/>
  <c r="Q34" i="5"/>
  <c r="N40" i="2"/>
  <c r="Q36" i="5"/>
  <c r="N42" i="2"/>
  <c r="Q37" i="5"/>
  <c r="Q38" i="5"/>
  <c r="N44" i="2"/>
  <c r="Q40" i="5"/>
  <c r="Q41" i="5"/>
  <c r="Q42" i="5"/>
  <c r="N48" i="2"/>
  <c r="Q43" i="5"/>
  <c r="Q44" i="5"/>
  <c r="Q45" i="5"/>
  <c r="Q3" i="5"/>
  <c r="A3" i="1"/>
  <c r="A4" i="1"/>
  <c r="A6" i="1"/>
  <c r="A7" i="1"/>
  <c r="A8" i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3" i="1"/>
  <c r="A45" i="1"/>
  <c r="A46" i="1"/>
  <c r="A47" i="1"/>
  <c r="K6" i="4" l="1"/>
  <c r="I6" i="4"/>
  <c r="P6" i="5"/>
  <c r="G9" i="2"/>
  <c r="O6" i="5"/>
  <c r="N6" i="4"/>
  <c r="L6" i="4"/>
  <c r="F9" i="2"/>
  <c r="I6" i="5"/>
  <c r="J6" i="4"/>
  <c r="H6" i="4"/>
  <c r="J6" i="5"/>
  <c r="K6" i="5"/>
  <c r="O6" i="4"/>
  <c r="M6" i="4"/>
  <c r="L6" i="5"/>
  <c r="N6" i="5"/>
  <c r="M6" i="5"/>
  <c r="K3" i="4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5" i="4"/>
  <c r="L37" i="4"/>
  <c r="L29" i="4"/>
  <c r="L21" i="4"/>
  <c r="L13" i="4"/>
  <c r="L4" i="4"/>
  <c r="J39" i="4"/>
  <c r="J31" i="4"/>
  <c r="J23" i="4"/>
  <c r="J15" i="4"/>
  <c r="J7" i="4"/>
  <c r="M29" i="4"/>
  <c r="K45" i="4"/>
  <c r="K17" i="4"/>
  <c r="M40" i="4"/>
  <c r="M32" i="4"/>
  <c r="M24" i="4"/>
  <c r="M16" i="4"/>
  <c r="M8" i="4"/>
  <c r="K42" i="4"/>
  <c r="K34" i="4"/>
  <c r="K26" i="4"/>
  <c r="K18" i="4"/>
  <c r="K10" i="4"/>
  <c r="J18" i="4"/>
  <c r="M27" i="4"/>
  <c r="M7" i="4"/>
  <c r="K33" i="4"/>
  <c r="K15" i="4"/>
  <c r="L42" i="4"/>
  <c r="L34" i="4"/>
  <c r="L26" i="4"/>
  <c r="L18" i="4"/>
  <c r="L10" i="4"/>
  <c r="J44" i="4"/>
  <c r="J36" i="4"/>
  <c r="J28" i="4"/>
  <c r="J20" i="4"/>
  <c r="M43" i="4"/>
  <c r="M17" i="4"/>
  <c r="K29" i="4"/>
  <c r="L35" i="4"/>
  <c r="L11" i="4"/>
  <c r="J29" i="4"/>
  <c r="J4" i="4"/>
  <c r="M38" i="4"/>
  <c r="M14" i="4"/>
  <c r="K32" i="4"/>
  <c r="J14" i="4"/>
  <c r="K27" i="4"/>
  <c r="L32" i="4"/>
  <c r="L8" i="4"/>
  <c r="J16" i="4"/>
  <c r="K21" i="4"/>
  <c r="L41" i="4"/>
  <c r="L33" i="4"/>
  <c r="L25" i="4"/>
  <c r="L17" i="4"/>
  <c r="L9" i="4"/>
  <c r="J43" i="4"/>
  <c r="J35" i="4"/>
  <c r="J27" i="4"/>
  <c r="J19" i="4"/>
  <c r="J11" i="4"/>
  <c r="M41" i="4"/>
  <c r="M15" i="4"/>
  <c r="K31" i="4"/>
  <c r="M44" i="4"/>
  <c r="M36" i="4"/>
  <c r="M28" i="4"/>
  <c r="M20" i="4"/>
  <c r="M12" i="4"/>
  <c r="K38" i="4"/>
  <c r="K30" i="4"/>
  <c r="K22" i="4"/>
  <c r="K14" i="4"/>
  <c r="K5" i="4"/>
  <c r="J10" i="4"/>
  <c r="M37" i="4"/>
  <c r="M19" i="4"/>
  <c r="K41" i="4"/>
  <c r="K23" i="4"/>
  <c r="K4" i="4"/>
  <c r="L38" i="4"/>
  <c r="L30" i="4"/>
  <c r="L22" i="4"/>
  <c r="L14" i="4"/>
  <c r="L5" i="4"/>
  <c r="J40" i="4"/>
  <c r="J32" i="4"/>
  <c r="J24" i="4"/>
  <c r="J12" i="4"/>
  <c r="M33" i="4"/>
  <c r="K43" i="4"/>
  <c r="K13" i="4"/>
  <c r="L20" i="4"/>
  <c r="L12" i="4"/>
  <c r="J38" i="4"/>
  <c r="J30" i="4"/>
  <c r="J5" i="4"/>
  <c r="M25" i="4"/>
  <c r="K7" i="4"/>
  <c r="L27" i="4"/>
  <c r="J37" i="4"/>
  <c r="J21" i="4"/>
  <c r="M21" i="4"/>
  <c r="K39" i="4"/>
  <c r="M30" i="4"/>
  <c r="M22" i="4"/>
  <c r="K40" i="4"/>
  <c r="K24" i="4"/>
  <c r="K8" i="4"/>
  <c r="M45" i="4"/>
  <c r="M4" i="4"/>
  <c r="K9" i="4"/>
  <c r="L24" i="4"/>
  <c r="L16" i="4"/>
  <c r="J34" i="4"/>
  <c r="J26" i="4"/>
  <c r="M11" i="4"/>
  <c r="L39" i="4"/>
  <c r="L31" i="4"/>
  <c r="L23" i="4"/>
  <c r="L15" i="4"/>
  <c r="L7" i="4"/>
  <c r="J41" i="4"/>
  <c r="J33" i="4"/>
  <c r="J25" i="4"/>
  <c r="J17" i="4"/>
  <c r="J9" i="4"/>
  <c r="M35" i="4"/>
  <c r="M9" i="4"/>
  <c r="K25" i="4"/>
  <c r="M42" i="4"/>
  <c r="M34" i="4"/>
  <c r="M26" i="4"/>
  <c r="M18" i="4"/>
  <c r="M10" i="4"/>
  <c r="K44" i="4"/>
  <c r="K36" i="4"/>
  <c r="K28" i="4"/>
  <c r="K20" i="4"/>
  <c r="K12" i="4"/>
  <c r="J8" i="4"/>
  <c r="M31" i="4"/>
  <c r="M13" i="4"/>
  <c r="K37" i="4"/>
  <c r="K19" i="4"/>
  <c r="L44" i="4"/>
  <c r="L36" i="4"/>
  <c r="L28" i="4"/>
  <c r="J22" i="4"/>
  <c r="K35" i="4"/>
  <c r="L43" i="4"/>
  <c r="L19" i="4"/>
  <c r="J45" i="4"/>
  <c r="J13" i="4"/>
  <c r="K11" i="4"/>
  <c r="M5" i="4"/>
  <c r="K16" i="4"/>
  <c r="M23" i="4"/>
  <c r="L40" i="4"/>
  <c r="J42" i="4"/>
  <c r="M39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11" i="4"/>
  <c r="O9" i="4"/>
  <c r="O7" i="4"/>
  <c r="O4" i="4"/>
  <c r="N44" i="4"/>
  <c r="N42" i="4"/>
  <c r="N40" i="4"/>
  <c r="N38" i="4"/>
  <c r="N36" i="4"/>
  <c r="N34" i="4"/>
  <c r="N32" i="4"/>
  <c r="N30" i="4"/>
  <c r="N28" i="4"/>
  <c r="N26" i="4"/>
  <c r="N24" i="4"/>
  <c r="N22" i="4"/>
  <c r="N20" i="4"/>
  <c r="N18" i="4"/>
  <c r="N16" i="4"/>
  <c r="N14" i="4"/>
  <c r="N12" i="4"/>
  <c r="N10" i="4"/>
  <c r="N8" i="4"/>
  <c r="N5" i="4"/>
  <c r="I41" i="4"/>
  <c r="I34" i="4"/>
  <c r="I26" i="4"/>
  <c r="I18" i="4"/>
  <c r="I10" i="4"/>
  <c r="H45" i="4"/>
  <c r="I36" i="4"/>
  <c r="I27" i="4"/>
  <c r="I19" i="4"/>
  <c r="I11" i="4"/>
  <c r="H44" i="4"/>
  <c r="H36" i="4"/>
  <c r="H31" i="4"/>
  <c r="H34" i="4"/>
  <c r="H37" i="4"/>
  <c r="H21" i="4"/>
  <c r="H4" i="4"/>
  <c r="H12" i="4"/>
  <c r="H27" i="4"/>
  <c r="H30" i="4"/>
  <c r="P45" i="5"/>
  <c r="P43" i="5"/>
  <c r="P41" i="5"/>
  <c r="P39" i="5"/>
  <c r="P37" i="5"/>
  <c r="P35" i="5"/>
  <c r="P33" i="5"/>
  <c r="P31" i="5"/>
  <c r="P29" i="5"/>
  <c r="P27" i="5"/>
  <c r="P25" i="5"/>
  <c r="P23" i="5"/>
  <c r="P21" i="5"/>
  <c r="P19" i="5"/>
  <c r="P17" i="5"/>
  <c r="P15" i="5"/>
  <c r="P13" i="5"/>
  <c r="P11" i="5"/>
  <c r="P9" i="5"/>
  <c r="P4" i="5"/>
  <c r="K44" i="5"/>
  <c r="K42" i="5"/>
  <c r="I44" i="5"/>
  <c r="I42" i="5"/>
  <c r="I40" i="5"/>
  <c r="I38" i="5"/>
  <c r="I36" i="5"/>
  <c r="I34" i="5"/>
  <c r="I32" i="5"/>
  <c r="I30" i="5"/>
  <c r="I28" i="5"/>
  <c r="I26" i="5"/>
  <c r="I24" i="5"/>
  <c r="I22" i="5"/>
  <c r="I20" i="5"/>
  <c r="I18" i="5"/>
  <c r="I16" i="5"/>
  <c r="I14" i="5"/>
  <c r="I12" i="5"/>
  <c r="I10" i="5"/>
  <c r="I8" i="5"/>
  <c r="I5" i="5"/>
  <c r="L5" i="5"/>
  <c r="N45" i="5"/>
  <c r="O28" i="5"/>
  <c r="O17" i="5"/>
  <c r="O5" i="5"/>
  <c r="N38" i="5"/>
  <c r="N30" i="5"/>
  <c r="N21" i="5"/>
  <c r="N13" i="5"/>
  <c r="K36" i="5"/>
  <c r="K27" i="5"/>
  <c r="K19" i="5"/>
  <c r="K10" i="5"/>
  <c r="J44" i="5"/>
  <c r="J39" i="5"/>
  <c r="J35" i="5"/>
  <c r="J31" i="5"/>
  <c r="J27" i="5"/>
  <c r="J23" i="5"/>
  <c r="J19" i="5"/>
  <c r="J15" i="5"/>
  <c r="J11" i="5"/>
  <c r="J7" i="5"/>
  <c r="N43" i="5"/>
  <c r="O37" i="5"/>
  <c r="O32" i="5"/>
  <c r="O25" i="5"/>
  <c r="O19" i="5"/>
  <c r="O13" i="5"/>
  <c r="O7" i="5"/>
  <c r="N39" i="5"/>
  <c r="N31" i="5"/>
  <c r="N23" i="5"/>
  <c r="N16" i="5"/>
  <c r="N8" i="5"/>
  <c r="K41" i="5"/>
  <c r="K33" i="5"/>
  <c r="K26" i="5"/>
  <c r="K18" i="5"/>
  <c r="K11" i="5"/>
  <c r="O44" i="4"/>
  <c r="O40" i="4"/>
  <c r="O36" i="4"/>
  <c r="O30" i="4"/>
  <c r="O22" i="4"/>
  <c r="O14" i="4"/>
  <c r="O5" i="4"/>
  <c r="N39" i="4"/>
  <c r="N31" i="4"/>
  <c r="N23" i="4"/>
  <c r="N15" i="4"/>
  <c r="N7" i="4"/>
  <c r="I45" i="4"/>
  <c r="I37" i="4"/>
  <c r="I28" i="4"/>
  <c r="I16" i="4"/>
  <c r="I5" i="4"/>
  <c r="I40" i="4"/>
  <c r="I29" i="4"/>
  <c r="I17" i="4"/>
  <c r="I7" i="4"/>
  <c r="H40" i="4"/>
  <c r="H23" i="4"/>
  <c r="H18" i="4"/>
  <c r="H25" i="4"/>
  <c r="H28" i="4"/>
  <c r="H39" i="4"/>
  <c r="H38" i="4"/>
  <c r="L45" i="5"/>
  <c r="P42" i="5"/>
  <c r="L40" i="5"/>
  <c r="L37" i="5"/>
  <c r="P34" i="5"/>
  <c r="L32" i="5"/>
  <c r="L29" i="5"/>
  <c r="P26" i="5"/>
  <c r="L24" i="5"/>
  <c r="L21" i="5"/>
  <c r="P18" i="5"/>
  <c r="L16" i="5"/>
  <c r="L13" i="5"/>
  <c r="P10" i="5"/>
  <c r="P5" i="5"/>
  <c r="O43" i="5"/>
  <c r="I45" i="5"/>
  <c r="M42" i="5"/>
  <c r="M39" i="5"/>
  <c r="I37" i="5"/>
  <c r="M34" i="5"/>
  <c r="M31" i="5"/>
  <c r="I29" i="5"/>
  <c r="M26" i="5"/>
  <c r="M23" i="5"/>
  <c r="I21" i="5"/>
  <c r="M18" i="5"/>
  <c r="M15" i="5"/>
  <c r="I13" i="5"/>
  <c r="M10" i="5"/>
  <c r="M7" i="5"/>
  <c r="I4" i="5"/>
  <c r="L8" i="5"/>
  <c r="O45" i="5"/>
  <c r="O26" i="5"/>
  <c r="O11" i="5"/>
  <c r="N40" i="5"/>
  <c r="N28" i="5"/>
  <c r="N17" i="5"/>
  <c r="N5" i="5"/>
  <c r="K38" i="5"/>
  <c r="K25" i="5"/>
  <c r="K15" i="5"/>
  <c r="J38" i="5"/>
  <c r="J33" i="5"/>
  <c r="J28" i="5"/>
  <c r="J22" i="5"/>
  <c r="J17" i="5"/>
  <c r="J12" i="5"/>
  <c r="J5" i="5"/>
  <c r="O40" i="5"/>
  <c r="O33" i="5"/>
  <c r="O24" i="5"/>
  <c r="O16" i="5"/>
  <c r="O8" i="5"/>
  <c r="N37" i="5"/>
  <c r="N27" i="5"/>
  <c r="N18" i="5"/>
  <c r="N7" i="5"/>
  <c r="K37" i="5"/>
  <c r="K28" i="5"/>
  <c r="K16" i="5"/>
  <c r="K7" i="5"/>
  <c r="O32" i="4"/>
  <c r="O24" i="4"/>
  <c r="O16" i="4"/>
  <c r="O8" i="4"/>
  <c r="N41" i="4"/>
  <c r="N33" i="4"/>
  <c r="N25" i="4"/>
  <c r="N17" i="4"/>
  <c r="N9" i="4"/>
  <c r="I43" i="4"/>
  <c r="I35" i="4"/>
  <c r="I24" i="4"/>
  <c r="I14" i="4"/>
  <c r="I4" i="4"/>
  <c r="I38" i="4"/>
  <c r="I25" i="4"/>
  <c r="I15" i="4"/>
  <c r="H32" i="4"/>
  <c r="H15" i="4"/>
  <c r="H10" i="4"/>
  <c r="H17" i="4"/>
  <c r="H24" i="4"/>
  <c r="H35" i="4"/>
  <c r="H22" i="4"/>
  <c r="P44" i="5"/>
  <c r="L42" i="5"/>
  <c r="L39" i="5"/>
  <c r="P36" i="5"/>
  <c r="L34" i="5"/>
  <c r="L31" i="5"/>
  <c r="P28" i="5"/>
  <c r="L26" i="5"/>
  <c r="L23" i="5"/>
  <c r="P20" i="5"/>
  <c r="L18" i="5"/>
  <c r="L15" i="5"/>
  <c r="P12" i="5"/>
  <c r="L10" i="5"/>
  <c r="K43" i="5"/>
  <c r="M44" i="5"/>
  <c r="M41" i="5"/>
  <c r="I39" i="5"/>
  <c r="M36" i="5"/>
  <c r="M33" i="5"/>
  <c r="I31" i="5"/>
  <c r="M28" i="5"/>
  <c r="M25" i="5"/>
  <c r="I23" i="5"/>
  <c r="M20" i="5"/>
  <c r="M17" i="5"/>
  <c r="I15" i="5"/>
  <c r="M12" i="5"/>
  <c r="M9" i="5"/>
  <c r="I7" i="5"/>
  <c r="L7" i="5"/>
  <c r="O38" i="5"/>
  <c r="O23" i="5"/>
  <c r="O9" i="5"/>
  <c r="N36" i="5"/>
  <c r="N26" i="5"/>
  <c r="N15" i="5"/>
  <c r="K34" i="5"/>
  <c r="K23" i="5"/>
  <c r="K12" i="5"/>
  <c r="J42" i="5"/>
  <c r="J37" i="5"/>
  <c r="J32" i="5"/>
  <c r="J26" i="5"/>
  <c r="J21" i="5"/>
  <c r="J16" i="5"/>
  <c r="J10" i="5"/>
  <c r="J4" i="5"/>
  <c r="O39" i="5"/>
  <c r="O30" i="5"/>
  <c r="O22" i="5"/>
  <c r="O15" i="5"/>
  <c r="O4" i="5"/>
  <c r="N35" i="5"/>
  <c r="N25" i="5"/>
  <c r="N14" i="5"/>
  <c r="N4" i="5"/>
  <c r="K35" i="5"/>
  <c r="K24" i="5"/>
  <c r="K14" i="5"/>
  <c r="K4" i="5"/>
  <c r="O42" i="4"/>
  <c r="O38" i="4"/>
  <c r="O34" i="4"/>
  <c r="O26" i="4"/>
  <c r="O18" i="4"/>
  <c r="O10" i="4"/>
  <c r="N43" i="4"/>
  <c r="N35" i="4"/>
  <c r="N27" i="4"/>
  <c r="N19" i="4"/>
  <c r="N11" i="4"/>
  <c r="I42" i="4"/>
  <c r="I32" i="4"/>
  <c r="I22" i="4"/>
  <c r="I12" i="4"/>
  <c r="H41" i="4"/>
  <c r="I33" i="4"/>
  <c r="I23" i="4"/>
  <c r="I13" i="4"/>
  <c r="H43" i="4"/>
  <c r="H20" i="4"/>
  <c r="H7" i="4"/>
  <c r="H33" i="4"/>
  <c r="H13" i="4"/>
  <c r="H16" i="4"/>
  <c r="H19" i="4"/>
  <c r="H14" i="4"/>
  <c r="L44" i="5"/>
  <c r="L41" i="5"/>
  <c r="P38" i="5"/>
  <c r="L36" i="5"/>
  <c r="L33" i="5"/>
  <c r="P30" i="5"/>
  <c r="L28" i="5"/>
  <c r="L25" i="5"/>
  <c r="P22" i="5"/>
  <c r="L20" i="5"/>
  <c r="L17" i="5"/>
  <c r="P14" i="5"/>
  <c r="L12" i="5"/>
  <c r="L9" i="5"/>
  <c r="K45" i="5"/>
  <c r="O42" i="5"/>
  <c r="M43" i="5"/>
  <c r="I41" i="5"/>
  <c r="M38" i="5"/>
  <c r="M35" i="5"/>
  <c r="I33" i="5"/>
  <c r="M30" i="5"/>
  <c r="M27" i="5"/>
  <c r="I25" i="5"/>
  <c r="M22" i="5"/>
  <c r="M19" i="5"/>
  <c r="I17" i="5"/>
  <c r="M14" i="5"/>
  <c r="M11" i="5"/>
  <c r="I9" i="5"/>
  <c r="M5" i="5"/>
  <c r="L4" i="5"/>
  <c r="O34" i="5"/>
  <c r="O20" i="5"/>
  <c r="J45" i="5"/>
  <c r="N34" i="5"/>
  <c r="N24" i="5"/>
  <c r="O28" i="4"/>
  <c r="N37" i="4"/>
  <c r="N4" i="4"/>
  <c r="I39" i="4"/>
  <c r="I44" i="4"/>
  <c r="H29" i="4"/>
  <c r="H5" i="4"/>
  <c r="L35" i="5"/>
  <c r="P24" i="5"/>
  <c r="L14" i="5"/>
  <c r="O44" i="5"/>
  <c r="M37" i="5"/>
  <c r="I27" i="5"/>
  <c r="M16" i="5"/>
  <c r="M4" i="5"/>
  <c r="N32" i="5"/>
  <c r="K29" i="5"/>
  <c r="K5" i="5"/>
  <c r="J36" i="5"/>
  <c r="J25" i="5"/>
  <c r="J14" i="5"/>
  <c r="O29" i="5"/>
  <c r="O12" i="5"/>
  <c r="N33" i="5"/>
  <c r="N12" i="5"/>
  <c r="K31" i="5"/>
  <c r="K13" i="5"/>
  <c r="N45" i="4"/>
  <c r="N13" i="4"/>
  <c r="I30" i="4"/>
  <c r="I31" i="4"/>
  <c r="H42" i="4"/>
  <c r="H9" i="4"/>
  <c r="L43" i="5"/>
  <c r="P32" i="5"/>
  <c r="L22" i="5"/>
  <c r="L11" i="5"/>
  <c r="M45" i="5"/>
  <c r="I35" i="5"/>
  <c r="M24" i="5"/>
  <c r="M13" i="5"/>
  <c r="O31" i="5"/>
  <c r="N19" i="5"/>
  <c r="N42" i="5"/>
  <c r="K21" i="5"/>
  <c r="J34" i="5"/>
  <c r="J24" i="5"/>
  <c r="J13" i="5"/>
  <c r="O41" i="5"/>
  <c r="O27" i="5"/>
  <c r="O10" i="5"/>
  <c r="N29" i="5"/>
  <c r="N10" i="5"/>
  <c r="K30" i="5"/>
  <c r="K9" i="5"/>
  <c r="O12" i="4"/>
  <c r="N21" i="4"/>
  <c r="I20" i="4"/>
  <c r="I21" i="4"/>
  <c r="H8" i="4"/>
  <c r="P40" i="5"/>
  <c r="L30" i="5"/>
  <c r="L19" i="5"/>
  <c r="P7" i="5"/>
  <c r="I43" i="5"/>
  <c r="M32" i="5"/>
  <c r="M21" i="5"/>
  <c r="I11" i="5"/>
  <c r="O14" i="5"/>
  <c r="N11" i="5"/>
  <c r="K40" i="5"/>
  <c r="K17" i="5"/>
  <c r="J41" i="5"/>
  <c r="J30" i="5"/>
  <c r="J20" i="5"/>
  <c r="J9" i="5"/>
  <c r="O36" i="5"/>
  <c r="O21" i="5"/>
  <c r="N22" i="5"/>
  <c r="N44" i="5"/>
  <c r="K22" i="5"/>
  <c r="O20" i="4"/>
  <c r="N29" i="4"/>
  <c r="I8" i="4"/>
  <c r="I9" i="4"/>
  <c r="H26" i="4"/>
  <c r="H11" i="4"/>
  <c r="L38" i="5"/>
  <c r="L27" i="5"/>
  <c r="P16" i="5"/>
  <c r="M40" i="5"/>
  <c r="M29" i="5"/>
  <c r="I19" i="5"/>
  <c r="M8" i="5"/>
  <c r="P8" i="5"/>
  <c r="N41" i="5"/>
  <c r="N9" i="5"/>
  <c r="K32" i="5"/>
  <c r="K8" i="5"/>
  <c r="J40" i="5"/>
  <c r="J29" i="5"/>
  <c r="J18" i="5"/>
  <c r="J8" i="5"/>
  <c r="O35" i="5"/>
  <c r="O18" i="5"/>
  <c r="J43" i="5"/>
  <c r="N20" i="5"/>
  <c r="K39" i="5"/>
  <c r="K20" i="5"/>
  <c r="F49" i="2"/>
  <c r="G40" i="2"/>
  <c r="G31" i="2"/>
  <c r="G22" i="2"/>
  <c r="G13" i="2"/>
  <c r="G50" i="2"/>
  <c r="F42" i="2"/>
  <c r="F33" i="2"/>
  <c r="F24" i="2"/>
  <c r="F15" i="2"/>
  <c r="G45" i="2"/>
  <c r="G37" i="2"/>
  <c r="G27" i="2"/>
  <c r="G18" i="2"/>
  <c r="G10" i="2"/>
  <c r="G47" i="2"/>
  <c r="F39" i="2"/>
  <c r="F30" i="2"/>
  <c r="F21" i="2"/>
  <c r="F12" i="2"/>
  <c r="G46" i="2"/>
  <c r="G38" i="2"/>
  <c r="G29" i="2"/>
  <c r="G19" i="2"/>
  <c r="G11" i="2"/>
  <c r="G48" i="2"/>
  <c r="F40" i="2"/>
  <c r="F31" i="2"/>
  <c r="F22" i="2"/>
  <c r="F13" i="2"/>
  <c r="F47" i="2"/>
  <c r="G43" i="2"/>
  <c r="G34" i="2"/>
  <c r="G16" i="2"/>
  <c r="G7" i="2"/>
  <c r="F45" i="2"/>
  <c r="F27" i="2"/>
  <c r="I27" i="2" s="1"/>
  <c r="F10" i="2"/>
  <c r="G44" i="2"/>
  <c r="G35" i="2"/>
  <c r="G26" i="2"/>
  <c r="G17" i="2"/>
  <c r="G8" i="2"/>
  <c r="F46" i="2"/>
  <c r="F38" i="2"/>
  <c r="F29" i="2"/>
  <c r="F19" i="2"/>
  <c r="F11" i="2"/>
  <c r="F50" i="2"/>
  <c r="G41" i="2"/>
  <c r="G32" i="2"/>
  <c r="G23" i="2"/>
  <c r="G14" i="2"/>
  <c r="G51" i="2"/>
  <c r="F43" i="2"/>
  <c r="F34" i="2"/>
  <c r="F25" i="2"/>
  <c r="F16" i="2"/>
  <c r="I16" i="2" s="1"/>
  <c r="F7" i="2"/>
  <c r="I7" i="2" s="1"/>
  <c r="F51" i="2"/>
  <c r="G42" i="2"/>
  <c r="G33" i="2"/>
  <c r="G24" i="2"/>
  <c r="G15" i="2"/>
  <c r="F44" i="2"/>
  <c r="F35" i="2"/>
  <c r="F26" i="2"/>
  <c r="F17" i="2"/>
  <c r="F8" i="2"/>
  <c r="F48" i="2"/>
  <c r="I48" i="2" s="1"/>
  <c r="G39" i="2"/>
  <c r="G30" i="2"/>
  <c r="G21" i="2"/>
  <c r="G12" i="2"/>
  <c r="G49" i="2"/>
  <c r="F41" i="2"/>
  <c r="F32" i="2"/>
  <c r="F23" i="2"/>
  <c r="F14" i="2"/>
  <c r="G25" i="2"/>
  <c r="F37" i="2"/>
  <c r="F18" i="2"/>
  <c r="I18" i="2" s="1"/>
  <c r="L20" i="2"/>
  <c r="N20" i="2" s="1"/>
  <c r="K36" i="2"/>
  <c r="M36" i="2" s="1"/>
  <c r="K28" i="2"/>
  <c r="M28" i="2" s="1"/>
  <c r="M41" i="2"/>
  <c r="K52" i="2"/>
  <c r="M20" i="2"/>
  <c r="L28" i="2"/>
  <c r="N28" i="2" s="1"/>
  <c r="L52" i="2"/>
  <c r="M49" i="2"/>
  <c r="M47" i="2"/>
  <c r="M35" i="2"/>
  <c r="M31" i="2"/>
  <c r="M19" i="2"/>
  <c r="M15" i="2"/>
  <c r="M11" i="2"/>
  <c r="M50" i="2"/>
  <c r="M46" i="2"/>
  <c r="M45" i="2"/>
  <c r="M51" i="2"/>
  <c r="M44" i="2"/>
  <c r="M42" i="2"/>
  <c r="M38" i="2"/>
  <c r="M33" i="2"/>
  <c r="M29" i="2"/>
  <c r="M26" i="2"/>
  <c r="M22" i="2"/>
  <c r="M17" i="2"/>
  <c r="M13" i="2"/>
  <c r="M8" i="2"/>
  <c r="M43" i="2"/>
  <c r="M39" i="2"/>
  <c r="M37" i="2"/>
  <c r="M34" i="2"/>
  <c r="M30" i="2"/>
  <c r="M27" i="2"/>
  <c r="M25" i="2"/>
  <c r="M23" i="2"/>
  <c r="M21" i="2"/>
  <c r="M18" i="2"/>
  <c r="M14" i="2"/>
  <c r="M10" i="2"/>
  <c r="M7" i="2"/>
  <c r="L36" i="2"/>
  <c r="N36" i="2" s="1"/>
  <c r="M32" i="2"/>
  <c r="N43" i="2"/>
  <c r="N30" i="2"/>
  <c r="M16" i="2"/>
  <c r="M6" i="2"/>
  <c r="N6" i="2"/>
  <c r="M24" i="2"/>
  <c r="N14" i="2"/>
  <c r="N46" i="2"/>
  <c r="N39" i="2"/>
  <c r="N47" i="2"/>
  <c r="N35" i="2"/>
  <c r="N11" i="2"/>
  <c r="N51" i="2"/>
  <c r="M48" i="2"/>
  <c r="M40" i="2"/>
  <c r="N23" i="2"/>
  <c r="N19" i="2"/>
  <c r="M12" i="2"/>
  <c r="N50" i="2"/>
  <c r="N22" i="2"/>
  <c r="N18" i="2"/>
  <c r="N49" i="2"/>
  <c r="N45" i="2"/>
  <c r="H9" i="2" l="1"/>
  <c r="I9" i="2"/>
  <c r="P9" i="2"/>
  <c r="Q9" i="2"/>
  <c r="I6" i="2"/>
  <c r="I14" i="2"/>
  <c r="I26" i="2"/>
  <c r="I41" i="2"/>
  <c r="I17" i="2"/>
  <c r="I51" i="2"/>
  <c r="I34" i="2"/>
  <c r="I11" i="2"/>
  <c r="I46" i="2"/>
  <c r="I45" i="2"/>
  <c r="I31" i="2"/>
  <c r="H51" i="4"/>
  <c r="I23" i="2"/>
  <c r="I35" i="2"/>
  <c r="I29" i="2"/>
  <c r="I10" i="2"/>
  <c r="I13" i="2"/>
  <c r="I32" i="2"/>
  <c r="I8" i="2"/>
  <c r="I44" i="2"/>
  <c r="I12" i="2"/>
  <c r="I33" i="2"/>
  <c r="K51" i="4"/>
  <c r="J51" i="4"/>
  <c r="I43" i="2"/>
  <c r="I19" i="2"/>
  <c r="I47" i="2"/>
  <c r="I40" i="2"/>
  <c r="I21" i="2"/>
  <c r="I42" i="2"/>
  <c r="L51" i="4"/>
  <c r="I30" i="2"/>
  <c r="I15" i="2"/>
  <c r="N51" i="4"/>
  <c r="I37" i="2"/>
  <c r="I25" i="2"/>
  <c r="I50" i="2"/>
  <c r="I38" i="2"/>
  <c r="I22" i="2"/>
  <c r="I39" i="2"/>
  <c r="I24" i="2"/>
  <c r="I49" i="2"/>
  <c r="I51" i="4"/>
  <c r="M51" i="4"/>
  <c r="O51" i="4"/>
  <c r="L53" i="2"/>
  <c r="N52" i="2"/>
  <c r="N53" i="2" s="1"/>
  <c r="K53" i="2"/>
  <c r="M52" i="2"/>
  <c r="M53" i="2" s="1"/>
  <c r="G20" i="2" l="1"/>
  <c r="H50" i="2"/>
  <c r="Q50" i="2"/>
  <c r="P50" i="2"/>
  <c r="H46" i="2"/>
  <c r="Q46" i="2"/>
  <c r="P46" i="2"/>
  <c r="P42" i="2"/>
  <c r="Q42" i="2"/>
  <c r="H38" i="2"/>
  <c r="Q38" i="2"/>
  <c r="P38" i="2"/>
  <c r="Q33" i="2"/>
  <c r="P33" i="2"/>
  <c r="H33" i="2"/>
  <c r="F36" i="2"/>
  <c r="P29" i="2"/>
  <c r="H29" i="2"/>
  <c r="Q29" i="2"/>
  <c r="Q24" i="2"/>
  <c r="P24" i="2"/>
  <c r="H24" i="2"/>
  <c r="H19" i="2"/>
  <c r="P19" i="2"/>
  <c r="Q19" i="2"/>
  <c r="Q15" i="2"/>
  <c r="H15" i="2"/>
  <c r="P15" i="2"/>
  <c r="H11" i="2"/>
  <c r="P11" i="2"/>
  <c r="Q11" i="2"/>
  <c r="G28" i="2"/>
  <c r="F20" i="2"/>
  <c r="H6" i="2"/>
  <c r="P6" i="2"/>
  <c r="Q6" i="2"/>
  <c r="P49" i="2"/>
  <c r="H49" i="2"/>
  <c r="Q49" i="2"/>
  <c r="P45" i="2"/>
  <c r="Q45" i="2"/>
  <c r="H45" i="2"/>
  <c r="H41" i="2"/>
  <c r="Q41" i="2"/>
  <c r="P41" i="2"/>
  <c r="F52" i="2"/>
  <c r="P37" i="2"/>
  <c r="H37" i="2"/>
  <c r="Q37" i="2"/>
  <c r="P32" i="2"/>
  <c r="H32" i="2"/>
  <c r="Q32" i="2"/>
  <c r="H27" i="2"/>
  <c r="Q27" i="2"/>
  <c r="P27" i="2"/>
  <c r="Q23" i="2"/>
  <c r="P23" i="2"/>
  <c r="H23" i="2"/>
  <c r="H18" i="2"/>
  <c r="P18" i="2"/>
  <c r="Q18" i="2"/>
  <c r="H14" i="2"/>
  <c r="Q14" i="2"/>
  <c r="P14" i="2"/>
  <c r="Q10" i="2"/>
  <c r="H10" i="2"/>
  <c r="P10" i="2"/>
  <c r="H42" i="2"/>
  <c r="G36" i="2"/>
  <c r="H48" i="2"/>
  <c r="Q48" i="2"/>
  <c r="P48" i="2"/>
  <c r="H44" i="2"/>
  <c r="P44" i="2"/>
  <c r="Q44" i="2"/>
  <c r="P40" i="2"/>
  <c r="Q40" i="2"/>
  <c r="H40" i="2"/>
  <c r="Q35" i="2"/>
  <c r="P35" i="2"/>
  <c r="H35" i="2"/>
  <c r="H31" i="2"/>
  <c r="P31" i="2"/>
  <c r="Q31" i="2"/>
  <c r="Q26" i="2"/>
  <c r="P26" i="2"/>
  <c r="H26" i="2"/>
  <c r="P22" i="2"/>
  <c r="Q22" i="2"/>
  <c r="H22" i="2"/>
  <c r="H17" i="2"/>
  <c r="Q17" i="2"/>
  <c r="P17" i="2"/>
  <c r="Q13" i="2"/>
  <c r="P13" i="2"/>
  <c r="H13" i="2"/>
  <c r="H8" i="2"/>
  <c r="Q8" i="2"/>
  <c r="P8" i="2"/>
  <c r="P51" i="2"/>
  <c r="Q51" i="2"/>
  <c r="H51" i="2"/>
  <c r="Q47" i="2"/>
  <c r="P47" i="2"/>
  <c r="H47" i="2"/>
  <c r="Q43" i="2"/>
  <c r="P43" i="2"/>
  <c r="H43" i="2"/>
  <c r="H39" i="2"/>
  <c r="P39" i="2"/>
  <c r="Q39" i="2"/>
  <c r="H34" i="2"/>
  <c r="P34" i="2"/>
  <c r="Q34" i="2"/>
  <c r="H30" i="2"/>
  <c r="Q30" i="2"/>
  <c r="P30" i="2"/>
  <c r="Q25" i="2"/>
  <c r="H25" i="2"/>
  <c r="P25" i="2"/>
  <c r="F28" i="2"/>
  <c r="P21" i="2"/>
  <c r="H21" i="2"/>
  <c r="Q21" i="2"/>
  <c r="P16" i="2"/>
  <c r="Q16" i="2"/>
  <c r="H16" i="2"/>
  <c r="H12" i="2"/>
  <c r="Q12" i="2"/>
  <c r="P12" i="2"/>
  <c r="Q7" i="2"/>
  <c r="H7" i="2"/>
  <c r="P7" i="2"/>
  <c r="G52" i="2"/>
  <c r="I20" i="2" l="1"/>
  <c r="I36" i="2"/>
  <c r="I52" i="2"/>
  <c r="I28" i="2"/>
  <c r="H36" i="2"/>
  <c r="G53" i="2"/>
  <c r="Q28" i="2"/>
  <c r="P28" i="2"/>
  <c r="H28" i="2"/>
  <c r="Q36" i="2"/>
  <c r="P36" i="2"/>
  <c r="H52" i="2"/>
  <c r="P52" i="2"/>
  <c r="F53" i="2"/>
  <c r="Q52" i="2"/>
  <c r="Q20" i="2"/>
  <c r="P20" i="2"/>
  <c r="H20" i="2"/>
  <c r="I53" i="2" l="1"/>
  <c r="P53" i="2"/>
  <c r="Q53" i="2"/>
  <c r="H53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2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<sst xmlns="http://schemas.openxmlformats.org/spreadsheetml/2006/main" count="1086" uniqueCount="284">
  <si>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</si>
  <si>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</si>
  <si>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</si>
  <si>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</si>
  <si>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</si>
  <si>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</si>
  <si>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</si>
  <si>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</si>
  <si>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</si>
  <si>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</si>
  <si>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</si>
  <si>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</si>
  <si>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</si>
  <si>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</si>
  <si>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</si>
  <si>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</si>
  <si>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</si>
  <si>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</si>
  <si>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</si>
  <si>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</si>
  <si>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</si>
  <si>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</si>
  <si>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</si>
  <si>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</si>
  <si>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</si>
  <si>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</si>
  <si>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</si>
  <si>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</si>
  <si>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</si>
  <si>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</si>
  <si>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</si>
  <si>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</si>
  <si>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</si>
  <si>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</si>
  <si>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</si>
  <si>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</si>
  <si>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</si>
  <si>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</si>
  <si>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</si>
  <si>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</si>
  <si>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</si>
  <si>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</si>
  <si>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</si>
  <si>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</si>
  <si>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</si>
  <si>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</si>
  <si>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</si>
  <si>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</si>
  <si>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</si>
  <si>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</si>
  <si>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</si>
  <si>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</si>
  <si>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</si>
  <si>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</si>
  <si>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</si>
  <si>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</si>
  <si>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</si>
  <si>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</si>
  <si>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</si>
  <si>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</si>
  <si>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</si>
  <si>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</si>
  <si>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</si>
  <si>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</si>
  <si>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</si>
  <si>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</si>
  <si>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</si>
  <si>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</si>
  <si>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</si>
  <si>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</si>
  <si>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</si>
  <si>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</si>
  <si>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</si>
  <si>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</si>
  <si>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</si>
  <si>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</si>
  <si>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</si>
  <si>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</si>
  <si>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</si>
  <si>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</si>
  <si>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</si>
  <si>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</si>
  <si>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</si>
  <si>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</si>
  <si>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</si>
  <si>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</si>
  <si>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</si>
  <si>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</si>
  <si>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</si>
  <si>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</si>
  <si>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</si>
  <si>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</si>
  <si>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</si>
  <si>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</si>
  <si>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</si>
  <si>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</si>
  <si>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</si>
  <si>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</si>
  <si>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</si>
  <si>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</si>
  <si>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</si>
  <si>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</si>
  <si>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</si>
  <si>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</si>
  <si>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</si>
  <si>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</si>
  <si>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</si>
  <si>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</si>
  <si>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</si>
  <si>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</si>
  <si>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</si>
  <si>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</si>
  <si>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</si>
  <si>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</si>
  <si>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</si>
  <si>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</si>
  <si>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</si>
  <si>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</si>
  <si>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</si>
  <si>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</si>
  <si>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</si>
  <si>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</si>
  <si>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</si>
  <si>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</si>
  <si>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</si>
  <si>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</si>
  <si>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</si>
  <si>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</si>
  <si>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</si>
  <si>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</si>
  <si>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</si>
  <si>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</si>
  <si>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</si>
  <si>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</si>
  <si>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</si>
  <si>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</si>
  <si>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</si>
  <si>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</si>
  <si>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</si>
  <si>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</si>
  <si>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</si>
  <si>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</si>
  <si>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</si>
  <si>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</si>
  <si>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</si>
  <si>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</si>
  <si>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</si>
  <si>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</si>
  <si>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</si>
  <si>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</si>
  <si>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</si>
  <si>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</si>
  <si>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</si>
  <si>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</si>
  <si>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</si>
  <si>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</si>
  <si>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</si>
  <si>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</si>
  <si>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</si>
  <si>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</si>
  <si>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</si>
  <si>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</si>
  <si>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</si>
  <si>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</si>
  <si>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</si>
  <si>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</si>
  <si>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</si>
  <si>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</si>
  <si>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</si>
  <si>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</si>
  <si>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</si>
  <si>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</si>
  <si>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</si>
  <si>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</si>
  <si>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</si>
  <si>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</si>
  <si>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</si>
  <si>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</si>
  <si>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</si>
  <si>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</si>
  <si>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</si>
  <si>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</si>
  <si>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</si>
  <si>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</si>
  <si>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</si>
  <si>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</si>
  <si>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</si>
  <si>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</si>
  <si>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</si>
  <si>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</si>
  <si>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</si>
  <si>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</si>
  <si>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</si>
  <si>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</si>
  <si>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</si>
  <si>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</si>
  <si>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</si>
  <si>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</si>
  <si>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</si>
  <si>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</si>
  <si>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</si>
  <si>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</si>
  <si>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</si>
  <si>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</si>
  <si>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</si>
  <si>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</si>
  <si>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</si>
  <si>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</si>
  <si>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</si>
  <si>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</si>
  <si>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</si>
  <si>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</si>
  <si>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</si>
  <si>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</si>
  <si>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</si>
  <si>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</si>
  <si>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</si>
  <si>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</si>
  <si>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</si>
  <si>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</si>
  <si>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</si>
  <si>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</si>
  <si>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</si>
  <si>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</si>
  <si>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</si>
  <si>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</si>
  <si>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</si>
  <si>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</si>
  <si>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</si>
  <si>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</si>
  <si>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</si>
  <si>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</si>
  <si>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</si>
  <si>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</si>
  <si>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</si>
  <si>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</si>
  <si>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</si>
  <si>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</si>
  <si>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</si>
  <si>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</si>
  <si>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</si>
  <si>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</si>
  <si>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</si>
  <si>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</si>
  <si>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</si>
  <si>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</si>
  <si>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</si>
  <si>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</si>
  <si>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</si>
  <si>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</si>
  <si>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</si>
  <si>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</si>
  <si>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</si>
  <si>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</si>
  <si>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</si>
  <si>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</si>
  <si>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</si>
  <si>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</si>
  <si>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E519</t>
  </si>
  <si>
    <t>H303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</si>
  <si>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</si>
  <si>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</si>
  <si>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</si>
  <si>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</si>
  <si>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</si>
  <si>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</si>
  <si>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A512 109120</t>
  </si>
  <si>
    <t>DAU</t>
  </si>
  <si>
    <t>E518</t>
  </si>
  <si>
    <t>E608</t>
  </si>
  <si>
    <t>109120</t>
  </si>
  <si>
    <t xml:space="preserve">Specilaised Services Total </t>
  </si>
  <si>
    <t xml:space="preserve">Childrens Total </t>
  </si>
  <si>
    <t xml:space="preserve">Womens Total </t>
  </si>
  <si>
    <t xml:space="preserve">Trust Total </t>
  </si>
  <si>
    <t>A516</t>
  </si>
  <si>
    <t>A520A</t>
  </si>
  <si>
    <t>D701A</t>
  </si>
  <si>
    <t>H402</t>
  </si>
  <si>
    <t>201</t>
  </si>
  <si>
    <t>60S</t>
  </si>
  <si>
    <t>GTL</t>
  </si>
  <si>
    <t>SDU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</si>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</sst>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7" tableType="queryTable" totalsRowShown="0" headerRowDxfId="5">
  <autoFilter ref="A1:E67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selection activeCell="T2" sqref="T2"/>
    </sheetView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260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5" si="0">VLOOKUP($C3,$W$2:$AB$73,2,FALSE)</f>
        <v>RA701</v>
      </c>
      <c r="E3" t="str">
        <f t="shared" ref="E3:E45" si="1">VLOOKUP($C3,$W$2:$AB$73,3,FALSE)</f>
        <v>Bristol Royal Infirmary</v>
      </c>
      <c r="F3" t="str">
        <f>$C3</f>
        <v>C808</v>
      </c>
      <c r="G3" t="str">
        <f t="shared" ref="G3:G45" si="2">VLOOKUP($C3,$W$2:$AB$73,4,FALSE)</f>
        <v>300 - GENERAL MEDICINE</v>
      </c>
      <c r="H3" t="str">
        <f t="shared" ref="H3:H45" si="3">IF(VLOOKUP($C3,$W$2:$AB$73,5,FALSE)=0,"",VLOOKUP($C3,$W$2:$AB$73,5,FALSE))</f>
        <v/>
      </c>
      <c r="I3">
        <f>VLOOKUP($A3,'Unify Report'!$A$1:$V$99,4,FALSE)</f>
        <v>1244.25</v>
      </c>
      <c r="J3">
        <f>VLOOKUP($A3,'Unify Report'!$A$1:$V$99,3,FALSE)</f>
        <v>1412</v>
      </c>
      <c r="K3">
        <f>VLOOKUP($A3,'Unify Report'!$A$1:$V$99,8,FALSE)</f>
        <v>979</v>
      </c>
      <c r="L3">
        <f>VLOOKUP($A3,'Unify Report'!$A$1:$V$99,7,FALSE)</f>
        <v>1650.5833333333333</v>
      </c>
      <c r="M3">
        <f>VLOOKUP($A3,'Unify Report'!$A$1:$V$99,12,FALSE)</f>
        <v>924</v>
      </c>
      <c r="N3">
        <f>VLOOKUP($A3,'Unify Report'!$A$1:$V$99,11,FALSE)</f>
        <v>913</v>
      </c>
      <c r="O3">
        <f>VLOOKUP($A3,'Unify Report'!$A$1:$V$99,16,FALSE)</f>
        <v>616</v>
      </c>
      <c r="P3">
        <f>VLOOKUP($A3,'Unify Report'!$A$1:$V$99,15,FALSE)</f>
        <v>1536.5</v>
      </c>
      <c r="Q3" s="97">
        <f>VLOOKUP($C3,CHPPD!$D$6:$Q$71,8,FALSE)</f>
        <v>692</v>
      </c>
      <c r="W3" t="s">
        <v>186</v>
      </c>
      <c r="X3" t="s">
        <v>184</v>
      </c>
      <c r="Y3" s="110" t="s">
        <v>260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5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2411.75</v>
      </c>
      <c r="J4">
        <f>VLOOKUP($A4,'Unify Report'!$A$1:$V$99,3,FALSE)</f>
        <v>2401.75</v>
      </c>
      <c r="K4">
        <f>VLOOKUP($A4,'Unify Report'!$A$1:$V$99,8,FALSE)</f>
        <v>1732</v>
      </c>
      <c r="L4">
        <f>VLOOKUP($A4,'Unify Report'!$A$1:$V$99,7,FALSE)</f>
        <v>1745.9166666666667</v>
      </c>
      <c r="M4">
        <f>VLOOKUP($A4,'Unify Report'!$A$1:$V$99,12,FALSE)</f>
        <v>2156</v>
      </c>
      <c r="N4">
        <f>VLOOKUP($A4,'Unify Report'!$A$1:$V$99,11,FALSE)</f>
        <v>2069.5</v>
      </c>
      <c r="O4">
        <f>VLOOKUP($A4,'Unify Report'!$A$1:$V$99,16,FALSE)</f>
        <v>1606</v>
      </c>
      <c r="P4">
        <f>VLOOKUP($A4,'Unify Report'!$A$1:$V$99,15,FALSE)</f>
        <v>1639</v>
      </c>
      <c r="Q4" s="97">
        <f>VLOOKUP($C4,CHPPD!$D$6:$Q$71,8,FALSE)</f>
        <v>803</v>
      </c>
      <c r="W4" t="s">
        <v>189</v>
      </c>
      <c r="X4" t="s">
        <v>184</v>
      </c>
      <c r="Y4" s="110" t="s">
        <v>260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2028.25</v>
      </c>
      <c r="J5">
        <f>VLOOKUP($A5,'Unify Report'!$A$1:$V$99,3,FALSE)</f>
        <v>1937.25</v>
      </c>
      <c r="K5">
        <f>VLOOKUP($A5,'Unify Report'!$A$1:$V$99,8,FALSE)</f>
        <v>1679</v>
      </c>
      <c r="L5">
        <f>VLOOKUP($A5,'Unify Report'!$A$1:$V$99,7,FALSE)</f>
        <v>1944.5</v>
      </c>
      <c r="M5">
        <f>VLOOKUP($A5,'Unify Report'!$A$1:$V$99,12,FALSE)</f>
        <v>1540</v>
      </c>
      <c r="N5">
        <f>VLOOKUP($A5,'Unify Report'!$A$1:$V$99,11,FALSE)</f>
        <v>1485</v>
      </c>
      <c r="O5">
        <f>VLOOKUP($A5,'Unify Report'!$A$1:$V$99,16,FALSE)</f>
        <v>1232</v>
      </c>
      <c r="P5">
        <f>VLOOKUP($A5,'Unify Report'!$A$1:$V$99,15,FALSE)</f>
        <v>1675.7666666666667</v>
      </c>
      <c r="Q5" s="97">
        <f>VLOOKUP($C5,CHPPD!$D$6:$Q$71,8,FALSE)</f>
        <v>810</v>
      </c>
      <c r="W5" t="s">
        <v>191</v>
      </c>
      <c r="X5" t="s">
        <v>184</v>
      </c>
      <c r="Y5" s="110" t="s">
        <v>260</v>
      </c>
      <c r="Z5" t="s">
        <v>185</v>
      </c>
      <c r="AA5" t="s">
        <v>190</v>
      </c>
    </row>
    <row r="6" spans="1:27">
      <c r="A6" s="70" t="s">
        <v>270</v>
      </c>
      <c r="B6" s="21" t="s">
        <v>266</v>
      </c>
      <c r="C6" s="98" t="s">
        <v>265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A512</v>
      </c>
      <c r="G6" t="str">
        <f t="shared" si="2"/>
        <v>300 - GENERAL MEDICINE</v>
      </c>
      <c r="I6">
        <f>VLOOKUP($A6,'Unify Report'!$A$1:$V$99,4,FALSE)</f>
        <v>679.5</v>
      </c>
      <c r="J6">
        <f>VLOOKUP($A6,'Unify Report'!$A$1:$V$99,3,FALSE)</f>
        <v>678</v>
      </c>
      <c r="K6">
        <f>VLOOKUP($A6,'Unify Report'!$A$1:$V$99,8,FALSE)</f>
        <v>327.25</v>
      </c>
      <c r="L6">
        <f>VLOOKUP($A6,'Unify Report'!$A$1:$V$99,7,FALSE)</f>
        <v>305</v>
      </c>
      <c r="M6">
        <f>VLOOKUP($A6,'Unify Report'!$A$1:$V$99,12,FALSE)</f>
        <v>616</v>
      </c>
      <c r="N6">
        <f>VLOOKUP($A6,'Unify Report'!$A$1:$V$99,11,FALSE)</f>
        <v>616.75</v>
      </c>
      <c r="O6">
        <f>VLOOKUP($A6,'Unify Report'!$A$1:$V$99,16,FALSE)</f>
        <v>308</v>
      </c>
      <c r="P6">
        <f>VLOOKUP($A6,'Unify Report'!$A$1:$V$99,15,FALSE)</f>
        <v>297</v>
      </c>
      <c r="Q6" s="97">
        <f>VLOOKUP($C6,CHPPD!$D$6:$Q$71,8,FALSE)</f>
        <v>242</v>
      </c>
      <c r="W6" s="110" t="s">
        <v>265</v>
      </c>
      <c r="X6" t="s">
        <v>184</v>
      </c>
      <c r="Y6" s="110" t="s">
        <v>260</v>
      </c>
      <c r="Z6" t="s">
        <v>185</v>
      </c>
    </row>
    <row r="7" spans="1:27">
      <c r="A7" s="21" t="s">
        <v>57</v>
      </c>
      <c r="B7" s="21" t="s">
        <v>13</v>
      </c>
      <c r="C7" s="21" t="s">
        <v>99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A515</v>
      </c>
      <c r="G7" t="str">
        <f t="shared" si="2"/>
        <v>300 - GENERAL MEDICINE</v>
      </c>
      <c r="H7" t="str">
        <f t="shared" si="3"/>
        <v>430 - GERIATRIC MEDICINE</v>
      </c>
      <c r="I7">
        <f>VLOOKUP($A7,'Unify Report'!$A$1:$V$99,4,FALSE)</f>
        <v>1687</v>
      </c>
      <c r="J7">
        <f>VLOOKUP($A7,'Unify Report'!$A$1:$V$99,3,FALSE)</f>
        <v>1536.0833333333333</v>
      </c>
      <c r="K7">
        <f>VLOOKUP($A7,'Unify Report'!$A$1:$V$99,8,FALSE)</f>
        <v>1014</v>
      </c>
      <c r="L7">
        <f>VLOOKUP($A7,'Unify Report'!$A$1:$V$99,7,FALSE)</f>
        <v>998.75</v>
      </c>
      <c r="M7">
        <f>VLOOKUP($A7,'Unify Report'!$A$1:$V$99,12,FALSE)</f>
        <v>1232</v>
      </c>
      <c r="N7">
        <f>VLOOKUP($A7,'Unify Report'!$A$1:$V$99,11,FALSE)</f>
        <v>1221.25</v>
      </c>
      <c r="O7">
        <f>VLOOKUP($A7,'Unify Report'!$A$1:$V$99,16,FALSE)</f>
        <v>913</v>
      </c>
      <c r="P7">
        <f>VLOOKUP($A7,'Unify Report'!$A$1:$V$99,15,FALSE)</f>
        <v>933.25</v>
      </c>
      <c r="Q7" s="97">
        <f>VLOOKUP($C7,CHPPD!$D$6:$Q$71,8,FALSE)</f>
        <v>643</v>
      </c>
      <c r="W7" t="s">
        <v>105</v>
      </c>
      <c r="X7" t="s">
        <v>184</v>
      </c>
      <c r="Y7" s="110" t="s">
        <v>260</v>
      </c>
      <c r="Z7" t="s">
        <v>185</v>
      </c>
    </row>
    <row r="8" spans="1:27">
      <c r="A8" s="21" t="s">
        <v>58</v>
      </c>
      <c r="B8" s="21" t="s">
        <v>18</v>
      </c>
      <c r="C8" s="21" t="s">
        <v>100</v>
      </c>
      <c r="D8" t="str">
        <f t="shared" si="0"/>
        <v>RA701</v>
      </c>
      <c r="E8" t="str">
        <f t="shared" si="1"/>
        <v>Bristol Royal Infirmary</v>
      </c>
      <c r="F8" t="str">
        <f t="shared" si="4"/>
        <v>A518</v>
      </c>
      <c r="G8" t="str">
        <f t="shared" si="2"/>
        <v>300 - GENERAL MEDICINE</v>
      </c>
      <c r="H8" t="str">
        <f t="shared" si="3"/>
        <v/>
      </c>
      <c r="I8">
        <f>VLOOKUP($A8,'Unify Report'!$A$1:$V$99,4,FALSE)</f>
        <v>995.5</v>
      </c>
      <c r="J8">
        <f>VLOOKUP($A8,'Unify Report'!$A$1:$V$99,3,FALSE)</f>
        <v>994.25</v>
      </c>
      <c r="K8">
        <f>VLOOKUP($A8,'Unify Report'!$A$1:$V$99,8,FALSE)</f>
        <v>672.75</v>
      </c>
      <c r="L8">
        <f>VLOOKUP($A8,'Unify Report'!$A$1:$V$99,7,FALSE)</f>
        <v>723</v>
      </c>
      <c r="M8">
        <f>VLOOKUP($A8,'Unify Report'!$A$1:$V$99,12,FALSE)</f>
        <v>616</v>
      </c>
      <c r="N8">
        <f>VLOOKUP($A8,'Unify Report'!$A$1:$V$99,11,FALSE)</f>
        <v>616</v>
      </c>
      <c r="O8">
        <f>VLOOKUP($A8,'Unify Report'!$A$1:$V$99,16,FALSE)</f>
        <v>616</v>
      </c>
      <c r="P8">
        <f>VLOOKUP($A8,'Unify Report'!$A$1:$V$99,15,FALSE)</f>
        <v>764</v>
      </c>
      <c r="Q8" s="97">
        <f>VLOOKUP($C8,CHPPD!$D$6:$Q$71,8,FALSE)</f>
        <v>444</v>
      </c>
      <c r="W8" t="s">
        <v>192</v>
      </c>
      <c r="X8" t="s">
        <v>184</v>
      </c>
      <c r="Y8" s="110" t="s">
        <v>260</v>
      </c>
      <c r="Z8" t="s">
        <v>190</v>
      </c>
      <c r="AA8" t="s">
        <v>188</v>
      </c>
    </row>
    <row r="9" spans="1:27">
      <c r="A9" s="21" t="s">
        <v>59</v>
      </c>
      <c r="B9" s="21" t="s">
        <v>15</v>
      </c>
      <c r="C9" s="21" t="s">
        <v>101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A522</v>
      </c>
      <c r="G9" t="str">
        <f t="shared" si="2"/>
        <v>300 - GENERAL MEDICINE</v>
      </c>
      <c r="H9" t="str">
        <f t="shared" si="3"/>
        <v>430 - GERIATRIC MEDICINE</v>
      </c>
      <c r="I9">
        <f>VLOOKUP($A9,'Unify Report'!$A$1:$V$99,4,FALSE)</f>
        <v>1480</v>
      </c>
      <c r="J9">
        <f>VLOOKUP($A9,'Unify Report'!$A$1:$V$99,3,FALSE)</f>
        <v>1468.25</v>
      </c>
      <c r="K9">
        <f>VLOOKUP($A9,'Unify Report'!$A$1:$V$99,8,FALSE)</f>
        <v>1025.25</v>
      </c>
      <c r="L9">
        <f>VLOOKUP($A9,'Unify Report'!$A$1:$V$99,7,FALSE)</f>
        <v>1002.5</v>
      </c>
      <c r="M9">
        <f>VLOOKUP($A9,'Unify Report'!$A$1:$V$99,12,FALSE)</f>
        <v>924</v>
      </c>
      <c r="N9">
        <f>VLOOKUP($A9,'Unify Report'!$A$1:$V$99,11,FALSE)</f>
        <v>915</v>
      </c>
      <c r="O9">
        <f>VLOOKUP($A9,'Unify Report'!$A$1:$V$99,16,FALSE)</f>
        <v>924</v>
      </c>
      <c r="P9">
        <f>VLOOKUP($A9,'Unify Report'!$A$1:$V$99,15,FALSE)</f>
        <v>1052.9833333333333</v>
      </c>
      <c r="Q9" s="97">
        <f>VLOOKUP($C9,CHPPD!$D$6:$Q$71,8,FALSE)</f>
        <v>616</v>
      </c>
      <c r="W9" t="s">
        <v>119</v>
      </c>
      <c r="X9" t="s">
        <v>184</v>
      </c>
      <c r="Y9" s="110" t="s">
        <v>260</v>
      </c>
      <c r="Z9" t="s">
        <v>193</v>
      </c>
      <c r="AA9" t="s">
        <v>188</v>
      </c>
    </row>
    <row r="10" spans="1:27">
      <c r="A10" s="21" t="s">
        <v>60</v>
      </c>
      <c r="B10" s="21" t="s">
        <v>22</v>
      </c>
      <c r="C10" s="21" t="s">
        <v>102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A524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1009</v>
      </c>
      <c r="J10">
        <f>VLOOKUP($A10,'Unify Report'!$A$1:$V$99,3,FALSE)</f>
        <v>997</v>
      </c>
      <c r="K10">
        <f>VLOOKUP($A10,'Unify Report'!$A$1:$V$99,8,FALSE)</f>
        <v>847.5</v>
      </c>
      <c r="L10">
        <f>VLOOKUP($A10,'Unify Report'!$A$1:$V$99,7,FALSE)</f>
        <v>816.75</v>
      </c>
      <c r="M10">
        <f>VLOOKUP($A10,'Unify Report'!$A$1:$V$99,12,FALSE)</f>
        <v>924</v>
      </c>
      <c r="N10">
        <f>VLOOKUP($A10,'Unify Report'!$A$1:$V$99,11,FALSE)</f>
        <v>924</v>
      </c>
      <c r="O10">
        <f>VLOOKUP($A10,'Unify Report'!$A$1:$V$99,16,FALSE)</f>
        <v>308</v>
      </c>
      <c r="P10">
        <f>VLOOKUP($A10,'Unify Report'!$A$1:$V$99,15,FALSE)</f>
        <v>410.21666666666664</v>
      </c>
      <c r="Q10" s="97">
        <f>VLOOKUP($C10,CHPPD!$D$6:$Q$71,8,FALSE)</f>
        <v>541</v>
      </c>
      <c r="W10" t="s">
        <v>194</v>
      </c>
      <c r="X10" t="s">
        <v>184</v>
      </c>
      <c r="Y10" s="110" t="s">
        <v>260</v>
      </c>
      <c r="Z10" t="s">
        <v>190</v>
      </c>
      <c r="AA10" t="s">
        <v>185</v>
      </c>
    </row>
    <row r="11" spans="1:27">
      <c r="A11" s="21" t="s">
        <v>61</v>
      </c>
      <c r="B11" s="21" t="s">
        <v>23</v>
      </c>
      <c r="C11" s="21" t="s">
        <v>103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A525</v>
      </c>
      <c r="G11" t="str">
        <f t="shared" si="2"/>
        <v>300 - GENERAL MEDICINE</v>
      </c>
      <c r="H11" t="str">
        <f t="shared" si="3"/>
        <v/>
      </c>
      <c r="I11">
        <f>VLOOKUP($A11,'Unify Report'!$A$1:$V$99,4,FALSE)</f>
        <v>1354</v>
      </c>
      <c r="J11">
        <f>VLOOKUP($A11,'Unify Report'!$A$1:$V$99,3,FALSE)</f>
        <v>1273.75</v>
      </c>
      <c r="K11">
        <f>VLOOKUP($A11,'Unify Report'!$A$1:$V$99,8,FALSE)</f>
        <v>666.75</v>
      </c>
      <c r="L11">
        <f>VLOOKUP($A11,'Unify Report'!$A$1:$V$99,7,FALSE)</f>
        <v>706.5</v>
      </c>
      <c r="M11">
        <f>VLOOKUP($A11,'Unify Report'!$A$1:$V$99,12,FALSE)</f>
        <v>1234.56666666667</v>
      </c>
      <c r="N11">
        <f>VLOOKUP($A11,'Unify Report'!$A$1:$V$99,11,FALSE)</f>
        <v>1216.3166666666666</v>
      </c>
      <c r="O11">
        <f>VLOOKUP($A11,'Unify Report'!$A$1:$V$99,16,FALSE)</f>
        <v>616</v>
      </c>
      <c r="P11">
        <f>VLOOKUP($A11,'Unify Report'!$A$1:$V$99,15,FALSE)</f>
        <v>704.5</v>
      </c>
      <c r="Q11" s="97">
        <f>VLOOKUP($C11,CHPPD!$D$6:$Q$71,8,FALSE)</f>
        <v>365</v>
      </c>
      <c r="W11" t="s">
        <v>111</v>
      </c>
      <c r="X11" t="s">
        <v>184</v>
      </c>
      <c r="Y11" s="110" t="s">
        <v>260</v>
      </c>
      <c r="Z11" t="s">
        <v>195</v>
      </c>
      <c r="AA11" t="s">
        <v>187</v>
      </c>
    </row>
    <row r="12" spans="1:27">
      <c r="A12" s="21" t="s">
        <v>62</v>
      </c>
      <c r="B12" s="21" t="s">
        <v>16</v>
      </c>
      <c r="C12" s="21" t="s">
        <v>104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A528</v>
      </c>
      <c r="G12" t="str">
        <f t="shared" si="2"/>
        <v>430 - GERIATRIC MEDICINE</v>
      </c>
      <c r="H12" t="str">
        <f t="shared" si="3"/>
        <v/>
      </c>
      <c r="I12">
        <f>VLOOKUP($A12,'Unify Report'!$A$1:$V$99,4,FALSE)</f>
        <v>1016.75</v>
      </c>
      <c r="J12">
        <f>VLOOKUP($A12,'Unify Report'!$A$1:$V$99,3,FALSE)</f>
        <v>944.58333333333337</v>
      </c>
      <c r="K12">
        <f>VLOOKUP($A12,'Unify Report'!$A$1:$V$99,8,FALSE)</f>
        <v>1003.25</v>
      </c>
      <c r="L12">
        <f>VLOOKUP($A12,'Unify Report'!$A$1:$V$99,7,FALSE)</f>
        <v>1488.75</v>
      </c>
      <c r="M12">
        <f>VLOOKUP($A12,'Unify Report'!$A$1:$V$99,12,FALSE)</f>
        <v>616</v>
      </c>
      <c r="N12">
        <f>VLOOKUP($A12,'Unify Report'!$A$1:$V$99,11,FALSE)</f>
        <v>616</v>
      </c>
      <c r="O12">
        <f>VLOOKUP($A12,'Unify Report'!$A$1:$V$99,16,FALSE)</f>
        <v>616</v>
      </c>
      <c r="P12">
        <f>VLOOKUP($A12,'Unify Report'!$A$1:$V$99,15,FALSE)</f>
        <v>1430</v>
      </c>
      <c r="Q12" s="97">
        <f>VLOOKUP($C12,CHPPD!$D$6:$Q$71,8,FALSE)</f>
        <v>552</v>
      </c>
      <c r="W12" t="s">
        <v>112</v>
      </c>
      <c r="X12" t="s">
        <v>184</v>
      </c>
      <c r="Y12" s="110" t="s">
        <v>260</v>
      </c>
      <c r="Z12" t="s">
        <v>187</v>
      </c>
      <c r="AA12" t="s">
        <v>195</v>
      </c>
    </row>
    <row r="13" spans="1:27">
      <c r="A13" s="21" t="s">
        <v>63</v>
      </c>
      <c r="B13" s="21" t="s">
        <v>14</v>
      </c>
      <c r="C13" s="21" t="s">
        <v>105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A605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674.49999999999966</v>
      </c>
      <c r="J13">
        <f>VLOOKUP($A13,'Unify Report'!$A$1:$V$99,3,FALSE)</f>
        <v>669.25</v>
      </c>
      <c r="K13">
        <f>VLOOKUP($A13,'Unify Report'!$A$1:$V$99,8,FALSE)</f>
        <v>1332.75</v>
      </c>
      <c r="L13">
        <f>VLOOKUP($A13,'Unify Report'!$A$1:$V$99,7,FALSE)</f>
        <v>1743.5</v>
      </c>
      <c r="M13">
        <f>VLOOKUP($A13,'Unify Report'!$A$1:$V$99,12,FALSE)</f>
        <v>616</v>
      </c>
      <c r="N13">
        <f>VLOOKUP($A13,'Unify Report'!$A$1:$V$99,11,FALSE)</f>
        <v>605</v>
      </c>
      <c r="O13">
        <f>VLOOKUP($A13,'Unify Report'!$A$1:$V$99,16,FALSE)</f>
        <v>616</v>
      </c>
      <c r="P13">
        <f>VLOOKUP($A13,'Unify Report'!$A$1:$V$99,15,FALSE)</f>
        <v>1078</v>
      </c>
      <c r="Q13" s="97">
        <f>VLOOKUP($C13,CHPPD!$D$6:$Q$71,8,FALSE)</f>
        <v>500</v>
      </c>
      <c r="W13" t="s">
        <v>113</v>
      </c>
      <c r="X13" t="s">
        <v>184</v>
      </c>
      <c r="Y13" s="110" t="s">
        <v>260</v>
      </c>
      <c r="Z13" t="s">
        <v>195</v>
      </c>
      <c r="AA13" t="s">
        <v>185</v>
      </c>
    </row>
    <row r="14" spans="1:27">
      <c r="A14" s="21" t="s">
        <v>64</v>
      </c>
      <c r="B14" s="21" t="s">
        <v>21</v>
      </c>
      <c r="C14" s="21" t="s">
        <v>106</v>
      </c>
      <c r="D14" t="str">
        <f t="shared" si="0"/>
        <v>RA701</v>
      </c>
      <c r="E14" t="str">
        <f t="shared" si="1"/>
        <v>Bristol Royal Infirmary</v>
      </c>
      <c r="F14" t="str">
        <f t="shared" si="4"/>
        <v>A900</v>
      </c>
      <c r="G14" t="str">
        <f t="shared" si="2"/>
        <v>300 - GENERAL MEDICINE</v>
      </c>
      <c r="H14" t="str">
        <f t="shared" si="3"/>
        <v/>
      </c>
      <c r="I14">
        <f>VLOOKUP($A14,'Unify Report'!$A$1:$V$99,4,FALSE)</f>
        <v>1233</v>
      </c>
      <c r="J14">
        <f>VLOOKUP($A14,'Unify Report'!$A$1:$V$99,3,FALSE)</f>
        <v>1387.25</v>
      </c>
      <c r="K14">
        <f>VLOOKUP($A14,'Unify Report'!$A$1:$V$99,8,FALSE)</f>
        <v>1011</v>
      </c>
      <c r="L14">
        <f>VLOOKUP($A14,'Unify Report'!$A$1:$V$99,7,FALSE)</f>
        <v>1088.5</v>
      </c>
      <c r="M14">
        <f>VLOOKUP($A14,'Unify Report'!$A$1:$V$99,12,FALSE)</f>
        <v>924</v>
      </c>
      <c r="N14">
        <f>VLOOKUP($A14,'Unify Report'!$A$1:$V$99,11,FALSE)</f>
        <v>1111</v>
      </c>
      <c r="O14">
        <f>VLOOKUP($A14,'Unify Report'!$A$1:$V$99,16,FALSE)</f>
        <v>616</v>
      </c>
      <c r="P14">
        <f>VLOOKUP($A14,'Unify Report'!$A$1:$V$99,15,FALSE)</f>
        <v>796.75</v>
      </c>
      <c r="Q14" s="97">
        <f>VLOOKUP($C14,CHPPD!$D$6:$Q$71,8,FALSE)</f>
        <v>645</v>
      </c>
      <c r="W14" s="110" t="s">
        <v>252</v>
      </c>
      <c r="X14" t="s">
        <v>196</v>
      </c>
      <c r="Y14" s="110" t="s">
        <v>261</v>
      </c>
      <c r="Z14" t="s">
        <v>197</v>
      </c>
      <c r="AA14" t="s">
        <v>188</v>
      </c>
    </row>
    <row r="15" spans="1:27">
      <c r="A15" s="21" t="s">
        <v>65</v>
      </c>
      <c r="B15" s="21" t="s">
        <v>24</v>
      </c>
      <c r="C15" s="22" t="s">
        <v>107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100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1362.75</v>
      </c>
      <c r="J15">
        <f>VLOOKUP($A15,'Unify Report'!$A$1:$V$99,3,FALSE)</f>
        <v>1455</v>
      </c>
      <c r="K15">
        <f>VLOOKUP($A15,'Unify Report'!$A$1:$V$99,8,FALSE)</f>
        <v>1711.5</v>
      </c>
      <c r="L15">
        <f>VLOOKUP($A15,'Unify Report'!$A$1:$V$99,7,FALSE)</f>
        <v>1587</v>
      </c>
      <c r="M15">
        <f>VLOOKUP($A15,'Unify Report'!$A$1:$V$99,12,FALSE)</f>
        <v>616</v>
      </c>
      <c r="N15">
        <f>VLOOKUP($A15,'Unify Report'!$A$1:$V$99,11,FALSE)</f>
        <v>781.5</v>
      </c>
      <c r="O15">
        <f>VLOOKUP($A15,'Unify Report'!$A$1:$V$99,16,FALSE)</f>
        <v>924</v>
      </c>
      <c r="P15">
        <f>VLOOKUP($A15,'Unify Report'!$A$1:$V$99,15,FALSE)</f>
        <v>1042.25</v>
      </c>
      <c r="Q15" s="97">
        <f>VLOOKUP($C15,CHPPD!$D$6:$Q$71,8,FALSE)</f>
        <v>837</v>
      </c>
      <c r="W15" s="110" t="s">
        <v>247</v>
      </c>
      <c r="X15" t="s">
        <v>196</v>
      </c>
      <c r="Y15" s="110" t="s">
        <v>261</v>
      </c>
      <c r="Z15" t="s">
        <v>198</v>
      </c>
      <c r="AA15" t="s">
        <v>199</v>
      </c>
    </row>
    <row r="16" spans="1:27">
      <c r="A16" s="21" t="s">
        <v>66</v>
      </c>
      <c r="B16" s="21" t="s">
        <v>25</v>
      </c>
      <c r="C16" s="22" t="s">
        <v>108</v>
      </c>
      <c r="D16" t="str">
        <f t="shared" si="0"/>
        <v>RA773</v>
      </c>
      <c r="E16" t="str">
        <f t="shared" si="1"/>
        <v>Bristol Royal Hospital For Children</v>
      </c>
      <c r="F16" t="str">
        <f t="shared" si="4"/>
        <v>200</v>
      </c>
      <c r="G16" t="str">
        <f t="shared" si="2"/>
        <v>314 - REHABILITATION</v>
      </c>
      <c r="H16" t="str">
        <f t="shared" si="3"/>
        <v>300 - GENERAL MEDICINE</v>
      </c>
      <c r="I16">
        <f>VLOOKUP($A16,'Unify Report'!$A$1:$V$99,4,FALSE)</f>
        <v>1359.5</v>
      </c>
      <c r="J16">
        <f>VLOOKUP($A16,'Unify Report'!$A$1:$V$99,3,FALSE)</f>
        <v>1432.5</v>
      </c>
      <c r="K16">
        <f>VLOOKUP($A16,'Unify Report'!$A$1:$V$99,8,FALSE)</f>
        <v>1531.5</v>
      </c>
      <c r="L16">
        <f>VLOOKUP($A16,'Unify Report'!$A$1:$V$99,7,FALSE)</f>
        <v>1295.25</v>
      </c>
      <c r="M16">
        <f>VLOOKUP($A16,'Unify Report'!$A$1:$V$99,12,FALSE)</f>
        <v>616</v>
      </c>
      <c r="N16">
        <f>VLOOKUP($A16,'Unify Report'!$A$1:$V$99,11,FALSE)</f>
        <v>781</v>
      </c>
      <c r="O16">
        <f>VLOOKUP($A16,'Unify Report'!$A$1:$V$99,16,FALSE)</f>
        <v>913</v>
      </c>
      <c r="P16">
        <f>VLOOKUP($A16,'Unify Report'!$A$1:$V$99,15,FALSE)</f>
        <v>1166</v>
      </c>
      <c r="Q16" s="97">
        <f>VLOOKUP($C16,CHPPD!$D$6:$Q$71,8,FALSE)</f>
        <v>838</v>
      </c>
      <c r="W16" s="110" t="s">
        <v>253</v>
      </c>
      <c r="X16" t="s">
        <v>196</v>
      </c>
      <c r="Y16" s="110" t="s">
        <v>261</v>
      </c>
      <c r="Z16" t="s">
        <v>199</v>
      </c>
      <c r="AA16" t="s">
        <v>198</v>
      </c>
    </row>
    <row r="17" spans="1:27">
      <c r="A17" s="21" t="s">
        <v>67</v>
      </c>
      <c r="B17" s="21" t="s">
        <v>27</v>
      </c>
      <c r="C17" s="21" t="s">
        <v>109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C603</v>
      </c>
      <c r="G17" t="str">
        <f t="shared" si="2"/>
        <v>320 - CARDIOLOGY</v>
      </c>
      <c r="H17" t="str">
        <f t="shared" si="3"/>
        <v/>
      </c>
      <c r="I17">
        <f>VLOOKUP($A17,'Unify Report'!$A$1:$V$99,4,FALSE)</f>
        <v>1686.5</v>
      </c>
      <c r="J17">
        <f>VLOOKUP($A17,'Unify Report'!$A$1:$V$99,3,FALSE)</f>
        <v>1528</v>
      </c>
      <c r="K17">
        <f>VLOOKUP($A17,'Unify Report'!$A$1:$V$99,8,FALSE)</f>
        <v>340.75</v>
      </c>
      <c r="L17">
        <f>VLOOKUP($A17,'Unify Report'!$A$1:$V$99,7,FALSE)</f>
        <v>271.5</v>
      </c>
      <c r="M17">
        <f>VLOOKUP($A17,'Unify Report'!$A$1:$V$99,12,FALSE)</f>
        <v>1232</v>
      </c>
      <c r="N17">
        <f>VLOOKUP($A17,'Unify Report'!$A$1:$V$99,11,FALSE)</f>
        <v>1232.5</v>
      </c>
      <c r="O17">
        <f>VLOOKUP($A17,'Unify Report'!$A$1:$V$99,16,FALSE)</f>
        <v>306.13333333333298</v>
      </c>
      <c r="P17">
        <f>VLOOKUP($A17,'Unify Report'!$A$1:$V$99,15,FALSE)</f>
        <v>306.13333333333333</v>
      </c>
      <c r="Q17" s="97">
        <f>VLOOKUP($C17,CHPPD!$D$6:$Q$71,8,FALSE)</f>
        <v>256</v>
      </c>
      <c r="W17" s="110" t="s">
        <v>244</v>
      </c>
      <c r="X17" t="s">
        <v>196</v>
      </c>
      <c r="Y17" s="110" t="s">
        <v>261</v>
      </c>
      <c r="Z17" t="s">
        <v>199</v>
      </c>
      <c r="AA17" t="s">
        <v>197</v>
      </c>
    </row>
    <row r="18" spans="1:27">
      <c r="A18" s="21" t="s">
        <v>68</v>
      </c>
      <c r="B18" s="21" t="s">
        <v>30</v>
      </c>
      <c r="C18" s="21" t="s">
        <v>110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C604</v>
      </c>
      <c r="G18" t="str">
        <f t="shared" si="2"/>
        <v>170 - CARDIOTHORACIC SURGERY</v>
      </c>
      <c r="H18" t="str">
        <f t="shared" si="3"/>
        <v>320 - CARDIOLOGY</v>
      </c>
      <c r="I18">
        <f>VLOOKUP($A18,'Unify Report'!$A$1:$V$99,4,FALSE)</f>
        <v>5778.75</v>
      </c>
      <c r="J18">
        <f>VLOOKUP($A18,'Unify Report'!$A$1:$V$99,3,FALSE)</f>
        <v>5536.5</v>
      </c>
      <c r="K18">
        <f>VLOOKUP($A18,'Unify Report'!$A$1:$V$99,8,FALSE)</f>
        <v>553.6999999999997</v>
      </c>
      <c r="L18">
        <f>VLOOKUP($A18,'Unify Report'!$A$1:$V$99,7,FALSE)</f>
        <v>482.25</v>
      </c>
      <c r="M18">
        <f>VLOOKUP($A18,'Unify Report'!$A$1:$V$99,12,FALSE)</f>
        <v>5750</v>
      </c>
      <c r="N18">
        <f>VLOOKUP($A18,'Unify Report'!$A$1:$V$99,11,FALSE)</f>
        <v>5405.666666666667</v>
      </c>
      <c r="O18">
        <f>VLOOKUP($A18,'Unify Report'!$A$1:$V$99,16,FALSE)</f>
        <v>322</v>
      </c>
      <c r="P18">
        <f>VLOOKUP($A18,'Unify Report'!$A$1:$V$99,15,FALSE)</f>
        <v>517.5</v>
      </c>
      <c r="Q18" s="97">
        <f>VLOOKUP($C18,CHPPD!$D$6:$Q$71,8,FALSE)</f>
        <v>667</v>
      </c>
      <c r="W18" t="s">
        <v>118</v>
      </c>
      <c r="X18" t="s">
        <v>184</v>
      </c>
      <c r="Y18" s="110" t="s">
        <v>260</v>
      </c>
      <c r="Z18" t="s">
        <v>193</v>
      </c>
      <c r="AA18" t="s">
        <v>190</v>
      </c>
    </row>
    <row r="19" spans="1:27">
      <c r="A19" s="21" t="s">
        <v>69</v>
      </c>
      <c r="B19" s="21" t="s">
        <v>29</v>
      </c>
      <c r="C19" s="21" t="s">
        <v>111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C705</v>
      </c>
      <c r="G19" t="str">
        <f t="shared" si="2"/>
        <v>320 - CARDIOLOGY</v>
      </c>
      <c r="H19" t="str">
        <f t="shared" si="3"/>
        <v>170 - CARDIOTHORACIC SURGERY</v>
      </c>
      <c r="I19">
        <f>VLOOKUP($A19,'Unify Report'!$A$1:$V$99,4,FALSE)</f>
        <v>1302.5</v>
      </c>
      <c r="J19">
        <f>VLOOKUP($A19,'Unify Report'!$A$1:$V$99,3,FALSE)</f>
        <v>1190</v>
      </c>
      <c r="K19">
        <f>VLOOKUP($A19,'Unify Report'!$A$1:$V$99,8,FALSE)</f>
        <v>988.3</v>
      </c>
      <c r="L19">
        <f>VLOOKUP($A19,'Unify Report'!$A$1:$V$99,7,FALSE)</f>
        <v>1003.55</v>
      </c>
      <c r="M19">
        <f>VLOOKUP($A19,'Unify Report'!$A$1:$V$99,12,FALSE)</f>
        <v>924</v>
      </c>
      <c r="N19">
        <f>VLOOKUP($A19,'Unify Report'!$A$1:$V$99,11,FALSE)</f>
        <v>913</v>
      </c>
      <c r="O19">
        <f>VLOOKUP($A19,'Unify Report'!$A$1:$V$99,16,FALSE)</f>
        <v>308</v>
      </c>
      <c r="P19">
        <f>VLOOKUP($A19,'Unify Report'!$A$1:$V$99,15,FALSE)</f>
        <v>452.86666666666667</v>
      </c>
      <c r="Q19" s="97">
        <f>VLOOKUP($C19,CHPPD!$D$6:$Q$71,8,FALSE)</f>
        <v>666</v>
      </c>
      <c r="W19" s="58" t="s">
        <v>200</v>
      </c>
      <c r="X19" t="s">
        <v>201</v>
      </c>
      <c r="Y19" s="110" t="s">
        <v>262</v>
      </c>
      <c r="Z19" t="s">
        <v>202</v>
      </c>
      <c r="AA19" t="s">
        <v>188</v>
      </c>
    </row>
    <row r="20" spans="1:27">
      <c r="A20" s="21" t="s">
        <v>70</v>
      </c>
      <c r="B20" s="21" t="s">
        <v>28</v>
      </c>
      <c r="C20" s="21" t="s">
        <v>112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C708</v>
      </c>
      <c r="G20" t="str">
        <f t="shared" si="2"/>
        <v>170 - CARDIOTHORACIC SURGERY</v>
      </c>
      <c r="H20" t="str">
        <f t="shared" si="3"/>
        <v>320 - CARDIOLOGY</v>
      </c>
      <c r="I20">
        <f>VLOOKUP($A20,'Unify Report'!$A$1:$V$99,4,FALSE)</f>
        <v>1303</v>
      </c>
      <c r="J20">
        <f>VLOOKUP($A20,'Unify Report'!$A$1:$V$99,3,FALSE)</f>
        <v>1246.25</v>
      </c>
      <c r="K20">
        <f>VLOOKUP($A20,'Unify Report'!$A$1:$V$99,8,FALSE)</f>
        <v>1098.5</v>
      </c>
      <c r="L20">
        <f>VLOOKUP($A20,'Unify Report'!$A$1:$V$99,7,FALSE)</f>
        <v>1314</v>
      </c>
      <c r="M20">
        <f>VLOOKUP($A20,'Unify Report'!$A$1:$V$99,12,FALSE)</f>
        <v>924</v>
      </c>
      <c r="N20">
        <f>VLOOKUP($A20,'Unify Report'!$A$1:$V$99,11,FALSE)</f>
        <v>925.75</v>
      </c>
      <c r="O20">
        <f>VLOOKUP($A20,'Unify Report'!$A$1:$V$99,16,FALSE)</f>
        <v>308</v>
      </c>
      <c r="P20">
        <f>VLOOKUP($A20,'Unify Report'!$A$1:$V$99,15,FALSE)</f>
        <v>692.16666666666663</v>
      </c>
      <c r="Q20" s="97">
        <f>VLOOKUP($C20,CHPPD!$D$6:$Q$71,8,FALSE)</f>
        <v>642</v>
      </c>
      <c r="W20" t="s">
        <v>127</v>
      </c>
      <c r="X20" t="s">
        <v>201</v>
      </c>
      <c r="Y20" s="110" t="s">
        <v>262</v>
      </c>
      <c r="Z20" t="s">
        <v>202</v>
      </c>
      <c r="AA20" t="s">
        <v>188</v>
      </c>
    </row>
    <row r="21" spans="1:27">
      <c r="A21" s="21" t="s">
        <v>71</v>
      </c>
      <c r="B21" s="21" t="s">
        <v>26</v>
      </c>
      <c r="C21" s="21" t="s">
        <v>113</v>
      </c>
      <c r="D21" t="str">
        <f t="shared" si="0"/>
        <v>RA701</v>
      </c>
      <c r="E21" t="str">
        <f t="shared" si="1"/>
        <v>Bristol Royal Infirmary</v>
      </c>
      <c r="F21" t="str">
        <f t="shared" si="4"/>
        <v>C805</v>
      </c>
      <c r="G21" t="str">
        <f t="shared" si="2"/>
        <v>320 - CARDIOLOGY</v>
      </c>
      <c r="H21" t="str">
        <f t="shared" si="3"/>
        <v>300 - GENERAL MEDICINE</v>
      </c>
      <c r="I21">
        <f>VLOOKUP($A21,'Unify Report'!$A$1:$V$99,4,FALSE)</f>
        <v>1276.25</v>
      </c>
      <c r="J21">
        <f>VLOOKUP($A21,'Unify Report'!$A$1:$V$99,3,FALSE)</f>
        <v>1227.5</v>
      </c>
      <c r="K21">
        <f>VLOOKUP($A21,'Unify Report'!$A$1:$V$99,8,FALSE)</f>
        <v>1024</v>
      </c>
      <c r="L21">
        <f>VLOOKUP($A21,'Unify Report'!$A$1:$V$99,7,FALSE)</f>
        <v>1036.5</v>
      </c>
      <c r="M21">
        <f>VLOOKUP($A21,'Unify Report'!$A$1:$V$99,12,FALSE)</f>
        <v>924</v>
      </c>
      <c r="N21">
        <f>VLOOKUP($A21,'Unify Report'!$A$1:$V$99,11,FALSE)</f>
        <v>924</v>
      </c>
      <c r="O21">
        <f>VLOOKUP($A21,'Unify Report'!$A$1:$V$99,16,FALSE)</f>
        <v>308</v>
      </c>
      <c r="P21">
        <f>VLOOKUP($A21,'Unify Report'!$A$1:$V$99,15,FALSE)</f>
        <v>396</v>
      </c>
      <c r="Q21" s="97">
        <f>VLOOKUP($C21,CHPPD!$D$6:$Q$71,8,FALSE)</f>
        <v>661</v>
      </c>
      <c r="W21" t="s">
        <v>126</v>
      </c>
      <c r="X21" t="s">
        <v>201</v>
      </c>
      <c r="Y21" s="110" t="s">
        <v>262</v>
      </c>
      <c r="Z21" t="s">
        <v>198</v>
      </c>
      <c r="AA21" t="s">
        <v>188</v>
      </c>
    </row>
    <row r="22" spans="1:27">
      <c r="A22" s="21" t="s">
        <v>72</v>
      </c>
      <c r="B22" s="21" t="s">
        <v>31</v>
      </c>
      <c r="C22" s="21" t="s">
        <v>114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D603</v>
      </c>
      <c r="G22" t="str">
        <f t="shared" si="2"/>
        <v>800 - CLINICAL ONCOLOGY</v>
      </c>
      <c r="H22" t="str">
        <f t="shared" si="3"/>
        <v/>
      </c>
      <c r="I22">
        <f>VLOOKUP($A22,'Unify Report'!$A$1:$V$99,4,FALSE)</f>
        <v>2367.7500000000032</v>
      </c>
      <c r="J22">
        <f>VLOOKUP($A22,'Unify Report'!$A$1:$V$99,3,FALSE)</f>
        <v>2397.75</v>
      </c>
      <c r="K22">
        <f>VLOOKUP($A22,'Unify Report'!$A$1:$V$99,8,FALSE)</f>
        <v>996.5</v>
      </c>
      <c r="L22">
        <f>VLOOKUP($A22,'Unify Report'!$A$1:$V$99,7,FALSE)</f>
        <v>1024.5</v>
      </c>
      <c r="M22">
        <f>VLOOKUP($A22,'Unify Report'!$A$1:$V$99,12,FALSE)</f>
        <v>1848</v>
      </c>
      <c r="N22">
        <f>VLOOKUP($A22,'Unify Report'!$A$1:$V$99,11,FALSE)</f>
        <v>1738.5</v>
      </c>
      <c r="O22">
        <f>VLOOKUP($A22,'Unify Report'!$A$1:$V$99,16,FALSE)</f>
        <v>616</v>
      </c>
      <c r="P22">
        <f>VLOOKUP($A22,'Unify Report'!$A$1:$V$99,15,FALSE)</f>
        <v>762.75</v>
      </c>
      <c r="Q22" s="97">
        <f>VLOOKUP($C22,CHPPD!$D$6:$Q$71,8,FALSE)</f>
        <v>803</v>
      </c>
      <c r="W22" t="s">
        <v>129</v>
      </c>
      <c r="X22" t="s">
        <v>201</v>
      </c>
      <c r="Y22" s="110" t="s">
        <v>262</v>
      </c>
      <c r="Z22" t="s">
        <v>203</v>
      </c>
      <c r="AA22" t="s">
        <v>188</v>
      </c>
    </row>
    <row r="23" spans="1:27">
      <c r="A23" s="21" t="s">
        <v>73</v>
      </c>
      <c r="B23" s="21" t="s">
        <v>32</v>
      </c>
      <c r="C23" s="21" t="s">
        <v>115</v>
      </c>
      <c r="D23" t="str">
        <f t="shared" si="0"/>
        <v>RA710</v>
      </c>
      <c r="E23" t="str">
        <f t="shared" si="1"/>
        <v>Bristol Haematology and Oncology Centre</v>
      </c>
      <c r="F23" t="str">
        <f t="shared" si="4"/>
        <v>D703</v>
      </c>
      <c r="G23" t="str">
        <f t="shared" si="2"/>
        <v>303 - CLINICAL HAEMATOLOGY</v>
      </c>
      <c r="H23" t="str">
        <f t="shared" si="3"/>
        <v/>
      </c>
      <c r="I23">
        <f>VLOOKUP($A23,'Unify Report'!$A$1:$V$99,4,FALSE)</f>
        <v>2379.8333333333298</v>
      </c>
      <c r="J23">
        <f>VLOOKUP($A23,'Unify Report'!$A$1:$V$99,3,FALSE)</f>
        <v>2186.9166666666665</v>
      </c>
      <c r="K23">
        <f>VLOOKUP($A23,'Unify Report'!$A$1:$V$99,8,FALSE)</f>
        <v>662.58333333333269</v>
      </c>
      <c r="L23">
        <f>VLOOKUP($A23,'Unify Report'!$A$1:$V$99,7,FALSE)</f>
        <v>624.08333333333337</v>
      </c>
      <c r="M23">
        <f>VLOOKUP($A23,'Unify Report'!$A$1:$V$99,12,FALSE)</f>
        <v>1529</v>
      </c>
      <c r="N23">
        <f>VLOOKUP($A23,'Unify Report'!$A$1:$V$99,11,FALSE)</f>
        <v>1496</v>
      </c>
      <c r="O23">
        <f>VLOOKUP($A23,'Unify Report'!$A$1:$V$99,16,FALSE)</f>
        <v>616</v>
      </c>
      <c r="P23">
        <f>VLOOKUP($A23,'Unify Report'!$A$1:$V$99,15,FALSE)</f>
        <v>605</v>
      </c>
      <c r="Q23" s="97">
        <f>VLOOKUP($C23,CHPPD!$D$6:$Q$71,8,FALSE)</f>
        <v>667</v>
      </c>
      <c r="W23" s="110" t="s">
        <v>255</v>
      </c>
      <c r="X23" t="s">
        <v>196</v>
      </c>
      <c r="Y23" s="110" t="s">
        <v>261</v>
      </c>
      <c r="Z23" t="s">
        <v>204</v>
      </c>
      <c r="AA23" t="s">
        <v>198</v>
      </c>
    </row>
    <row r="24" spans="1:27">
      <c r="A24" s="21" t="s">
        <v>74</v>
      </c>
      <c r="B24" s="21" t="s">
        <v>232</v>
      </c>
      <c r="C24" s="22" t="s">
        <v>116</v>
      </c>
      <c r="D24" t="str">
        <f t="shared" si="0"/>
        <v>RA708</v>
      </c>
      <c r="E24" t="str">
        <f t="shared" si="1"/>
        <v>Bristol Eye Hospital</v>
      </c>
      <c r="F24" t="str">
        <f t="shared" si="4"/>
        <v>H304A</v>
      </c>
      <c r="G24" t="str">
        <f t="shared" si="2"/>
        <v>130 - OPHTHALMOLOGY</v>
      </c>
      <c r="H24" t="str">
        <f t="shared" si="3"/>
        <v/>
      </c>
      <c r="I24">
        <f>VLOOKUP($A24,'Unify Report'!$A$1:$V$99,4,FALSE)</f>
        <v>1497</v>
      </c>
      <c r="J24">
        <f>VLOOKUP($A24,'Unify Report'!$A$1:$V$99,3,FALSE)</f>
        <v>1212</v>
      </c>
      <c r="K24">
        <f>VLOOKUP($A24,'Unify Report'!$A$1:$V$99,8,FALSE)</f>
        <v>1085.25</v>
      </c>
      <c r="L24">
        <f>VLOOKUP($A24,'Unify Report'!$A$1:$V$99,7,FALSE)</f>
        <v>946.5</v>
      </c>
      <c r="M24">
        <f>VLOOKUP($A24,'Unify Report'!$A$1:$V$99,12,FALSE)</f>
        <v>616</v>
      </c>
      <c r="N24">
        <f>VLOOKUP($A24,'Unify Report'!$A$1:$V$99,11,FALSE)</f>
        <v>616</v>
      </c>
      <c r="O24">
        <f>VLOOKUP($A24,'Unify Report'!$A$1:$V$99,16,FALSE)</f>
        <v>0</v>
      </c>
      <c r="P24">
        <f>VLOOKUP($A24,'Unify Report'!$A$1:$V$99,15,FALSE)</f>
        <v>0</v>
      </c>
      <c r="Q24" s="97">
        <f>VLOOKUP($C24,CHPPD!$D$6:$Q$71,8,FALSE)</f>
        <v>210</v>
      </c>
      <c r="W24" s="110" t="s">
        <v>246</v>
      </c>
      <c r="X24" t="s">
        <v>196</v>
      </c>
      <c r="Y24" s="110" t="s">
        <v>261</v>
      </c>
      <c r="Z24" t="s">
        <v>198</v>
      </c>
      <c r="AA24" t="s">
        <v>205</v>
      </c>
    </row>
    <row r="25" spans="1:27">
      <c r="A25" s="21" t="s">
        <v>75</v>
      </c>
      <c r="B25" s="21" t="s">
        <v>40</v>
      </c>
      <c r="C25" s="21" t="s">
        <v>117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A600</v>
      </c>
      <c r="G25" t="str">
        <f t="shared" si="2"/>
        <v>300 - GENERAL MEDICINE</v>
      </c>
      <c r="H25" t="str">
        <f t="shared" si="3"/>
        <v>100 - GENERAL SURGERY</v>
      </c>
      <c r="I25">
        <f>VLOOKUP($A25,'Unify Report'!$A$1:$V$99,4,FALSE)</f>
        <v>6397.75</v>
      </c>
      <c r="J25">
        <f>VLOOKUP($A25,'Unify Report'!$A$1:$V$99,3,FALSE)</f>
        <v>6262.5</v>
      </c>
      <c r="K25">
        <f>VLOOKUP($A25,'Unify Report'!$A$1:$V$99,8,FALSE)</f>
        <v>678.5</v>
      </c>
      <c r="L25">
        <f>VLOOKUP($A25,'Unify Report'!$A$1:$V$99,7,FALSE)</f>
        <v>697.5</v>
      </c>
      <c r="M25">
        <f>VLOOKUP($A25,'Unify Report'!$A$1:$V$99,12,FALSE)</f>
        <v>5852</v>
      </c>
      <c r="N25">
        <f>VLOOKUP($A25,'Unify Report'!$A$1:$V$99,11,FALSE)</f>
        <v>5779.75</v>
      </c>
      <c r="O25">
        <f>VLOOKUP($A25,'Unify Report'!$A$1:$V$99,16,FALSE)</f>
        <v>616</v>
      </c>
      <c r="P25">
        <f>VLOOKUP($A25,'Unify Report'!$A$1:$V$99,15,FALSE)</f>
        <v>748</v>
      </c>
      <c r="Q25" s="97">
        <f>VLOOKUP($C25,CHPPD!$D$6:$Q$71,8,FALSE)</f>
        <v>508</v>
      </c>
      <c r="W25" s="110" t="s">
        <v>254</v>
      </c>
      <c r="X25" t="s">
        <v>196</v>
      </c>
      <c r="Y25" s="110" t="s">
        <v>261</v>
      </c>
      <c r="Z25" t="s">
        <v>206</v>
      </c>
      <c r="AA25" t="s">
        <v>207</v>
      </c>
    </row>
    <row r="26" spans="1:27">
      <c r="A26" s="21" t="s">
        <v>76</v>
      </c>
      <c r="B26" s="21" t="s">
        <v>44</v>
      </c>
      <c r="C26" s="21" t="s">
        <v>118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A602</v>
      </c>
      <c r="G26" t="str">
        <f t="shared" si="2"/>
        <v>110 - TRAUMA &amp; ORTHOPAEDICS</v>
      </c>
      <c r="H26" t="str">
        <f t="shared" si="3"/>
        <v>100 - GENERAL SURGERY</v>
      </c>
      <c r="I26">
        <f>VLOOKUP($A26,'Unify Report'!$A$1:$V$99,4,FALSE)</f>
        <v>959.25</v>
      </c>
      <c r="J26">
        <f>VLOOKUP($A26,'Unify Report'!$A$1:$V$99,3,FALSE)</f>
        <v>975</v>
      </c>
      <c r="K26">
        <f>VLOOKUP($A26,'Unify Report'!$A$1:$V$99,8,FALSE)</f>
        <v>1087.25</v>
      </c>
      <c r="L26">
        <f>VLOOKUP($A26,'Unify Report'!$A$1:$V$99,7,FALSE)</f>
        <v>932</v>
      </c>
      <c r="M26">
        <f>VLOOKUP($A26,'Unify Report'!$A$1:$V$99,12,FALSE)</f>
        <v>644</v>
      </c>
      <c r="N26">
        <f>VLOOKUP($A26,'Unify Report'!$A$1:$V$99,11,FALSE)</f>
        <v>644</v>
      </c>
      <c r="O26">
        <f>VLOOKUP($A26,'Unify Report'!$A$1:$V$99,16,FALSE)</f>
        <v>954.5</v>
      </c>
      <c r="P26">
        <f>VLOOKUP($A26,'Unify Report'!$A$1:$V$99,15,FALSE)</f>
        <v>805</v>
      </c>
      <c r="Q26" s="97">
        <f>VLOOKUP($C26,CHPPD!$D$6:$Q$71,8,FALSE)</f>
        <v>471</v>
      </c>
      <c r="W26" s="110" t="s">
        <v>249</v>
      </c>
      <c r="X26" t="s">
        <v>196</v>
      </c>
      <c r="Y26" s="110" t="s">
        <v>261</v>
      </c>
      <c r="Z26" t="s">
        <v>198</v>
      </c>
      <c r="AA26" t="s">
        <v>205</v>
      </c>
    </row>
    <row r="27" spans="1:27">
      <c r="A27" s="21" t="s">
        <v>77</v>
      </c>
      <c r="B27" s="21" t="s">
        <v>42</v>
      </c>
      <c r="C27" s="21" t="s">
        <v>119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A604</v>
      </c>
      <c r="G27" t="str">
        <f t="shared" si="2"/>
        <v>110 - TRAUMA &amp; ORTHOPAEDICS</v>
      </c>
      <c r="H27" t="str">
        <f t="shared" si="3"/>
        <v/>
      </c>
      <c r="I27">
        <f>VLOOKUP($A27,'Unify Report'!$A$1:$V$99,4,FALSE)</f>
        <v>1256.25</v>
      </c>
      <c r="J27">
        <f>VLOOKUP($A27,'Unify Report'!$A$1:$V$99,3,FALSE)</f>
        <v>1240</v>
      </c>
      <c r="K27">
        <f>VLOOKUP($A27,'Unify Report'!$A$1:$V$99,8,FALSE)</f>
        <v>938.5</v>
      </c>
      <c r="L27">
        <f>VLOOKUP($A27,'Unify Report'!$A$1:$V$99,7,FALSE)</f>
        <v>1568</v>
      </c>
      <c r="M27">
        <f>VLOOKUP($A27,'Unify Report'!$A$1:$V$99,12,FALSE)</f>
        <v>966</v>
      </c>
      <c r="N27">
        <f>VLOOKUP($A27,'Unify Report'!$A$1:$V$99,11,FALSE)</f>
        <v>954.5</v>
      </c>
      <c r="O27">
        <f>VLOOKUP($A27,'Unify Report'!$A$1:$V$99,16,FALSE)</f>
        <v>644</v>
      </c>
      <c r="P27">
        <f>VLOOKUP($A27,'Unify Report'!$A$1:$V$99,15,FALSE)</f>
        <v>1448</v>
      </c>
      <c r="Q27" s="97">
        <f>VLOOKUP($C27,CHPPD!$D$6:$Q$71,8,FALSE)</f>
        <v>567</v>
      </c>
      <c r="W27" t="s">
        <v>208</v>
      </c>
      <c r="X27" t="s">
        <v>209</v>
      </c>
      <c r="Y27" s="110" t="s">
        <v>263</v>
      </c>
      <c r="Z27" t="s">
        <v>210</v>
      </c>
      <c r="AA27" t="s">
        <v>188</v>
      </c>
    </row>
    <row r="28" spans="1:27">
      <c r="A28" s="21" t="s">
        <v>78</v>
      </c>
      <c r="B28" s="21" t="s">
        <v>43</v>
      </c>
      <c r="C28" s="21" t="s">
        <v>120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A609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1848</v>
      </c>
      <c r="J28">
        <f>VLOOKUP($A28,'Unify Report'!$A$1:$V$99,3,FALSE)</f>
        <v>1754</v>
      </c>
      <c r="K28">
        <f>VLOOKUP($A28,'Unify Report'!$A$1:$V$99,8,FALSE)</f>
        <v>962</v>
      </c>
      <c r="L28">
        <f>VLOOKUP($A28,'Unify Report'!$A$1:$V$99,7,FALSE)</f>
        <v>993.8</v>
      </c>
      <c r="M28">
        <f>VLOOKUP($A28,'Unify Report'!$A$1:$V$99,12,FALSE)</f>
        <v>1283.0166666666701</v>
      </c>
      <c r="N28">
        <f>VLOOKUP($A28,'Unify Report'!$A$1:$V$99,11,FALSE)</f>
        <v>1265.5</v>
      </c>
      <c r="O28">
        <f>VLOOKUP($A28,'Unify Report'!$A$1:$V$99,16,FALSE)</f>
        <v>644</v>
      </c>
      <c r="P28">
        <f>VLOOKUP($A28,'Unify Report'!$A$1:$V$99,15,FALSE)</f>
        <v>678.5</v>
      </c>
      <c r="Q28" s="97">
        <f>VLOOKUP($C28,CHPPD!$D$6:$Q$71,8,FALSE)</f>
        <v>517</v>
      </c>
      <c r="W28" t="s">
        <v>116</v>
      </c>
      <c r="X28" t="s">
        <v>209</v>
      </c>
      <c r="Y28" s="110" t="s">
        <v>263</v>
      </c>
      <c r="Z28" t="s">
        <v>210</v>
      </c>
    </row>
    <row r="29" spans="1:27">
      <c r="A29" s="21" t="s">
        <v>79</v>
      </c>
      <c r="B29" s="21" t="s">
        <v>39</v>
      </c>
      <c r="C29" s="21" t="s">
        <v>121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A700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2071.25</v>
      </c>
      <c r="J29">
        <f>VLOOKUP($A29,'Unify Report'!$A$1:$V$99,3,FALSE)</f>
        <v>1883.5</v>
      </c>
      <c r="K29">
        <f>VLOOKUP($A29,'Unify Report'!$A$1:$V$99,8,FALSE)</f>
        <v>1150</v>
      </c>
      <c r="L29">
        <f>VLOOKUP($A29,'Unify Report'!$A$1:$V$99,7,FALSE)</f>
        <v>1185.25</v>
      </c>
      <c r="M29">
        <f>VLOOKUP($A29,'Unify Report'!$A$1:$V$99,12,FALSE)</f>
        <v>1610</v>
      </c>
      <c r="N29">
        <f>VLOOKUP($A29,'Unify Report'!$A$1:$V$99,11,FALSE)</f>
        <v>1575</v>
      </c>
      <c r="O29">
        <f>VLOOKUP($A29,'Unify Report'!$A$1:$V$99,16,FALSE)</f>
        <v>1288</v>
      </c>
      <c r="P29">
        <f>VLOOKUP($A29,'Unify Report'!$A$1:$V$99,15,FALSE)</f>
        <v>1257</v>
      </c>
      <c r="Q29" s="97">
        <f>VLOOKUP($C29,CHPPD!$D$6:$Q$71,8,FALSE)</f>
        <v>837</v>
      </c>
      <c r="W29" t="s">
        <v>114</v>
      </c>
      <c r="X29" t="s">
        <v>211</v>
      </c>
      <c r="Y29" s="110" t="s">
        <v>264</v>
      </c>
      <c r="Z29" t="s">
        <v>206</v>
      </c>
      <c r="AA29" t="s">
        <v>188</v>
      </c>
    </row>
    <row r="30" spans="1:27">
      <c r="A30" s="21" t="s">
        <v>80</v>
      </c>
      <c r="B30" s="21" t="s">
        <v>41</v>
      </c>
      <c r="C30" s="21" t="s">
        <v>122</v>
      </c>
      <c r="D30" t="str">
        <f t="shared" si="0"/>
        <v>RA701</v>
      </c>
      <c r="E30" t="str">
        <f t="shared" si="1"/>
        <v>Bristol Royal Infirmary</v>
      </c>
      <c r="F30" t="str">
        <f t="shared" si="4"/>
        <v>A800</v>
      </c>
      <c r="G30" t="str">
        <f t="shared" si="2"/>
        <v>100 - GENERAL SURGERY</v>
      </c>
      <c r="H30" t="str">
        <f t="shared" si="3"/>
        <v/>
      </c>
      <c r="I30">
        <f>VLOOKUP($A30,'Unify Report'!$A$1:$V$99,4,FALSE)</f>
        <v>1936.5</v>
      </c>
      <c r="J30">
        <f>VLOOKUP($A30,'Unify Report'!$A$1:$V$99,3,FALSE)</f>
        <v>1911.75</v>
      </c>
      <c r="K30">
        <f>VLOOKUP($A30,'Unify Report'!$A$1:$V$99,8,FALSE)</f>
        <v>1279.5</v>
      </c>
      <c r="L30">
        <f>VLOOKUP($A30,'Unify Report'!$A$1:$V$99,7,FALSE)</f>
        <v>1443.4166666666667</v>
      </c>
      <c r="M30">
        <f>VLOOKUP($A30,'Unify Report'!$A$1:$V$99,12,FALSE)</f>
        <v>1610</v>
      </c>
      <c r="N30">
        <f>VLOOKUP($A30,'Unify Report'!$A$1:$V$99,11,FALSE)</f>
        <v>1598.5</v>
      </c>
      <c r="O30">
        <f>VLOOKUP($A30,'Unify Report'!$A$1:$V$99,16,FALSE)</f>
        <v>1288</v>
      </c>
      <c r="P30">
        <f>VLOOKUP($A30,'Unify Report'!$A$1:$V$99,15,FALSE)</f>
        <v>1539</v>
      </c>
      <c r="Q30" s="97">
        <f>VLOOKUP($C30,CHPPD!$D$6:$Q$71,8,FALSE)</f>
        <v>885</v>
      </c>
      <c r="W30" t="s">
        <v>115</v>
      </c>
      <c r="X30" t="s">
        <v>211</v>
      </c>
      <c r="Y30" s="110" t="s">
        <v>264</v>
      </c>
      <c r="Z30" t="s">
        <v>212</v>
      </c>
      <c r="AA30" t="s">
        <v>188</v>
      </c>
    </row>
    <row r="31" spans="1:27">
      <c r="A31" s="21" t="s">
        <v>81</v>
      </c>
      <c r="B31" s="21" t="s">
        <v>235</v>
      </c>
      <c r="C31" s="98" t="s">
        <v>244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E400</v>
      </c>
      <c r="G31" t="str">
        <f t="shared" si="2"/>
        <v>171 - PAEDIATRIC SURGERY</v>
      </c>
      <c r="H31" t="str">
        <f t="shared" si="3"/>
        <v>321 - PAEDIATRIC CARDIOLOGY</v>
      </c>
      <c r="I31">
        <f>VLOOKUP($A31,'Unify Report'!$A$1:$V$99,4,FALSE)</f>
        <v>5507</v>
      </c>
      <c r="J31">
        <f>VLOOKUP($A31,'Unify Report'!$A$1:$V$99,3,FALSE)</f>
        <v>4934.5</v>
      </c>
      <c r="K31">
        <f>VLOOKUP($A31,'Unify Report'!$A$1:$V$99,8,FALSE)</f>
        <v>660</v>
      </c>
      <c r="L31">
        <f>VLOOKUP($A31,'Unify Report'!$A$1:$V$99,7,FALSE)</f>
        <v>265.5</v>
      </c>
      <c r="M31">
        <f>VLOOKUP($A31,'Unify Report'!$A$1:$V$99,12,FALSE)</f>
        <v>5474</v>
      </c>
      <c r="N31">
        <f>VLOOKUP($A31,'Unify Report'!$A$1:$V$99,11,FALSE)</f>
        <v>4884.5</v>
      </c>
      <c r="O31">
        <f>VLOOKUP($A31,'Unify Report'!$A$1:$V$99,16,FALSE)</f>
        <v>644</v>
      </c>
      <c r="P31">
        <f>VLOOKUP($A31,'Unify Report'!$A$1:$V$99,15,FALSE)</f>
        <v>172.5</v>
      </c>
      <c r="Q31" s="97">
        <f>VLOOKUP($C31,CHPPD!$D$6:$Q$71,8,FALSE)</f>
        <v>363</v>
      </c>
      <c r="W31" t="s">
        <v>213</v>
      </c>
      <c r="X31" t="s">
        <v>184</v>
      </c>
      <c r="Y31" s="110" t="s">
        <v>260</v>
      </c>
      <c r="Z31" t="s">
        <v>185</v>
      </c>
      <c r="AA31" t="s">
        <v>214</v>
      </c>
    </row>
    <row r="32" spans="1:27">
      <c r="A32" s="21" t="s">
        <v>82</v>
      </c>
      <c r="B32" s="21" t="s">
        <v>236</v>
      </c>
      <c r="C32" s="70" t="s">
        <v>246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E510</v>
      </c>
      <c r="G32" t="str">
        <f t="shared" si="2"/>
        <v>420 - PAEDIATRICS</v>
      </c>
      <c r="H32" t="str">
        <f t="shared" si="3"/>
        <v>421 - PAEDIATRIC NEUROLOGY</v>
      </c>
      <c r="I32">
        <f>VLOOKUP($A32,'Unify Report'!$A$1:$V$99,4,FALSE)</f>
        <v>3871</v>
      </c>
      <c r="J32">
        <f>VLOOKUP($A32,'Unify Report'!$A$1:$V$99,3,FALSE)</f>
        <v>3697</v>
      </c>
      <c r="K32">
        <f>VLOOKUP($A32,'Unify Report'!$A$1:$V$99,8,FALSE)</f>
        <v>308.66666666666669</v>
      </c>
      <c r="L32">
        <f>VLOOKUP($A32,'Unify Report'!$A$1:$V$99,7,FALSE)</f>
        <v>395.66666666666669</v>
      </c>
      <c r="M32">
        <f>VLOOKUP($A32,'Unify Report'!$A$1:$V$99,12,FALSE)</f>
        <v>4074</v>
      </c>
      <c r="N32">
        <f>VLOOKUP($A32,'Unify Report'!$A$1:$V$99,11,FALSE)</f>
        <v>3683.0166666666669</v>
      </c>
      <c r="O32">
        <f>VLOOKUP($A32,'Unify Report'!$A$1:$V$99,16,FALSE)</f>
        <v>322</v>
      </c>
      <c r="P32">
        <f>VLOOKUP($A32,'Unify Report'!$A$1:$V$99,15,FALSE)</f>
        <v>478.01666666666665</v>
      </c>
      <c r="Q32" s="97">
        <f>VLOOKUP($C32,CHPPD!$D$6:$Q$71,8,FALSE)</f>
        <v>733</v>
      </c>
      <c r="W32" t="s">
        <v>101</v>
      </c>
      <c r="X32" t="s">
        <v>184</v>
      </c>
      <c r="Y32" s="110" t="s">
        <v>260</v>
      </c>
      <c r="Z32" t="s">
        <v>185</v>
      </c>
      <c r="AA32" t="s">
        <v>214</v>
      </c>
    </row>
    <row r="33" spans="1:27">
      <c r="A33" s="21" t="s">
        <v>83</v>
      </c>
      <c r="B33" s="21" t="s">
        <v>237</v>
      </c>
      <c r="C33" s="70" t="s">
        <v>253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E602</v>
      </c>
      <c r="G33" t="str">
        <f t="shared" si="2"/>
        <v>171 - PAEDIATRIC SURGERY</v>
      </c>
      <c r="H33" t="str">
        <f t="shared" si="3"/>
        <v>420 - PAEDIATRICS</v>
      </c>
      <c r="I33">
        <f>VLOOKUP($A33,'Unify Report'!$A$1:$V$99,4,FALSE)</f>
        <v>2129</v>
      </c>
      <c r="J33">
        <f>VLOOKUP($A33,'Unify Report'!$A$1:$V$99,3,FALSE)</f>
        <v>1984</v>
      </c>
      <c r="K33">
        <f>VLOOKUP($A33,'Unify Report'!$A$1:$V$99,8,FALSE)</f>
        <v>322.5</v>
      </c>
      <c r="L33">
        <f>VLOOKUP($A33,'Unify Report'!$A$1:$V$99,7,FALSE)</f>
        <v>348</v>
      </c>
      <c r="M33">
        <f>VLOOKUP($A33,'Unify Report'!$A$1:$V$99,12,FALSE)</f>
        <v>1511</v>
      </c>
      <c r="N33">
        <f>VLOOKUP($A33,'Unify Report'!$A$1:$V$99,11,FALSE)</f>
        <v>1508.75</v>
      </c>
      <c r="O33">
        <f>VLOOKUP($A33,'Unify Report'!$A$1:$V$99,16,FALSE)</f>
        <v>322</v>
      </c>
      <c r="P33">
        <f>VLOOKUP($A33,'Unify Report'!$A$1:$V$99,15,FALSE)</f>
        <v>322</v>
      </c>
      <c r="Q33" s="97">
        <f>VLOOKUP($C33,CHPPD!$D$6:$Q$71,8,FALSE)</f>
        <v>438</v>
      </c>
      <c r="W33" t="s">
        <v>109</v>
      </c>
      <c r="X33" t="s">
        <v>184</v>
      </c>
      <c r="Y33" s="110" t="s">
        <v>260</v>
      </c>
      <c r="Z33" t="s">
        <v>195</v>
      </c>
      <c r="AA33" t="s">
        <v>188</v>
      </c>
    </row>
    <row r="34" spans="1:27">
      <c r="A34" s="21" t="s">
        <v>84</v>
      </c>
      <c r="B34" s="21" t="s">
        <v>238</v>
      </c>
      <c r="C34" s="70" t="s">
        <v>252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E600</v>
      </c>
      <c r="G34" t="str">
        <f t="shared" si="2"/>
        <v>321 - PAEDIATRIC CARDIOLOGY</v>
      </c>
      <c r="H34" t="str">
        <f t="shared" si="3"/>
        <v/>
      </c>
      <c r="I34">
        <f>VLOOKUP($A34,'Unify Report'!$A$1:$V$99,4,FALSE)</f>
        <v>1929.75</v>
      </c>
      <c r="J34">
        <f>VLOOKUP($A34,'Unify Report'!$A$1:$V$99,3,FALSE)</f>
        <v>1669.25</v>
      </c>
      <c r="K34">
        <f>VLOOKUP($A34,'Unify Report'!$A$1:$V$99,8,FALSE)</f>
        <v>322.5</v>
      </c>
      <c r="L34">
        <f>VLOOKUP($A34,'Unify Report'!$A$1:$V$99,7,FALSE)</f>
        <v>346.75</v>
      </c>
      <c r="M34">
        <f>VLOOKUP($A34,'Unify Report'!$A$1:$V$99,12,FALSE)</f>
        <v>1610</v>
      </c>
      <c r="N34">
        <f>VLOOKUP($A34,'Unify Report'!$A$1:$V$99,11,FALSE)</f>
        <v>1466</v>
      </c>
      <c r="O34">
        <f>VLOOKUP($A34,'Unify Report'!$A$1:$V$99,16,FALSE)</f>
        <v>322</v>
      </c>
      <c r="P34">
        <f>VLOOKUP($A34,'Unify Report'!$A$1:$V$99,15,FALSE)</f>
        <v>253</v>
      </c>
      <c r="Q34" s="97">
        <f>VLOOKUP($C34,CHPPD!$D$6:$Q$71,8,FALSE)</f>
        <v>354</v>
      </c>
      <c r="W34" t="s">
        <v>99</v>
      </c>
      <c r="X34" t="s">
        <v>184</v>
      </c>
      <c r="Y34" s="110" t="s">
        <v>260</v>
      </c>
      <c r="Z34" t="s">
        <v>185</v>
      </c>
      <c r="AA34" t="s">
        <v>214</v>
      </c>
    </row>
    <row r="35" spans="1:27">
      <c r="A35" s="21" t="s">
        <v>85</v>
      </c>
      <c r="B35" s="21" t="s">
        <v>239</v>
      </c>
      <c r="C35" s="70" t="s">
        <v>251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E512</v>
      </c>
      <c r="G35" t="str">
        <f t="shared" si="2"/>
        <v>420 - PAEDIATRICS</v>
      </c>
      <c r="H35" t="str">
        <f t="shared" si="3"/>
        <v/>
      </c>
      <c r="I35">
        <f>VLOOKUP($A35,'Unify Report'!$A$1:$V$99,4,FALSE)</f>
        <v>1596</v>
      </c>
      <c r="J35">
        <f>VLOOKUP($A35,'Unify Report'!$A$1:$V$99,3,FALSE)</f>
        <v>1550</v>
      </c>
      <c r="K35">
        <f>VLOOKUP($A35,'Unify Report'!$A$1:$V$99,8,FALSE)</f>
        <v>322</v>
      </c>
      <c r="L35">
        <f>VLOOKUP($A35,'Unify Report'!$A$1:$V$99,7,FALSE)</f>
        <v>276</v>
      </c>
      <c r="M35">
        <f>VLOOKUP($A35,'Unify Report'!$A$1:$V$99,12,FALSE)</f>
        <v>1610</v>
      </c>
      <c r="N35">
        <f>VLOOKUP($A35,'Unify Report'!$A$1:$V$99,11,FALSE)</f>
        <v>1529.5</v>
      </c>
      <c r="O35">
        <f>VLOOKUP($A35,'Unify Report'!$A$1:$V$99,16,FALSE)</f>
        <v>322</v>
      </c>
      <c r="P35">
        <f>VLOOKUP($A35,'Unify Report'!$A$1:$V$99,15,FALSE)</f>
        <v>310.5</v>
      </c>
      <c r="Q35" s="97">
        <f>VLOOKUP($C35,CHPPD!$D$6:$Q$71,8,FALSE)</f>
        <v>228</v>
      </c>
      <c r="W35" t="s">
        <v>215</v>
      </c>
      <c r="X35" t="s">
        <v>184</v>
      </c>
      <c r="Y35" s="110" t="s">
        <v>260</v>
      </c>
      <c r="Z35" t="s">
        <v>185</v>
      </c>
      <c r="AA35" t="s">
        <v>188</v>
      </c>
    </row>
    <row r="36" spans="1:27">
      <c r="A36" s="21" t="s">
        <v>86</v>
      </c>
      <c r="B36" s="21" t="s">
        <v>240</v>
      </c>
      <c r="C36" s="70" t="s">
        <v>254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E700</v>
      </c>
      <c r="G36" t="str">
        <f t="shared" si="2"/>
        <v>800 - CLINICAL ONCOLOGY</v>
      </c>
      <c r="H36" t="str">
        <f t="shared" si="3"/>
        <v>823 - HAEMATOLOGY</v>
      </c>
      <c r="I36">
        <f>VLOOKUP($A36,'Unify Report'!$A$1:$V$99,4,FALSE)</f>
        <v>2249.5</v>
      </c>
      <c r="J36">
        <f>VLOOKUP($A36,'Unify Report'!$A$1:$V$99,3,FALSE)</f>
        <v>2163.25</v>
      </c>
      <c r="K36">
        <f>VLOOKUP($A36,'Unify Report'!$A$1:$V$99,8,FALSE)</f>
        <v>324</v>
      </c>
      <c r="L36">
        <f>VLOOKUP($A36,'Unify Report'!$A$1:$V$99,7,FALSE)</f>
        <v>300</v>
      </c>
      <c r="M36">
        <f>VLOOKUP($A36,'Unify Report'!$A$1:$V$99,12,FALSE)</f>
        <v>1932</v>
      </c>
      <c r="N36">
        <f>VLOOKUP($A36,'Unify Report'!$A$1:$V$99,11,FALSE)</f>
        <v>1851.5</v>
      </c>
      <c r="O36">
        <f>VLOOKUP($A36,'Unify Report'!$A$1:$V$99,16,FALSE)</f>
        <v>322</v>
      </c>
      <c r="P36">
        <f>VLOOKUP($A36,'Unify Report'!$A$1:$V$99,15,FALSE)</f>
        <v>276</v>
      </c>
      <c r="Q36" s="97">
        <f>VLOOKUP($C36,CHPPD!$D$6:$Q$71,8,FALSE)</f>
        <v>396</v>
      </c>
      <c r="W36" t="s">
        <v>96</v>
      </c>
      <c r="X36" t="s">
        <v>184</v>
      </c>
      <c r="Y36" s="110" t="s">
        <v>260</v>
      </c>
      <c r="Z36" t="s">
        <v>185</v>
      </c>
      <c r="AA36" t="s">
        <v>188</v>
      </c>
    </row>
    <row r="37" spans="1:27">
      <c r="A37" s="21" t="s">
        <v>87</v>
      </c>
      <c r="B37" s="21" t="s">
        <v>241</v>
      </c>
      <c r="C37" s="70" t="s">
        <v>247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E702</v>
      </c>
      <c r="G37" t="str">
        <f t="shared" si="2"/>
        <v>420 - PAEDIATRICS</v>
      </c>
      <c r="H37" t="str">
        <f t="shared" si="3"/>
        <v>171 - PAEDIATRIC SURGERY</v>
      </c>
      <c r="I37">
        <f>VLOOKUP($A37,'Unify Report'!$A$1:$V$99,4,FALSE)</f>
        <v>1289.5</v>
      </c>
      <c r="J37">
        <f>VLOOKUP($A37,'Unify Report'!$A$1:$V$99,3,FALSE)</f>
        <v>1401.0333333333333</v>
      </c>
      <c r="K37">
        <f>VLOOKUP($A37,'Unify Report'!$A$1:$V$99,8,FALSE)</f>
        <v>301.5</v>
      </c>
      <c r="L37">
        <f>VLOOKUP($A37,'Unify Report'!$A$1:$V$99,7,FALSE)</f>
        <v>593.5</v>
      </c>
      <c r="M37">
        <f>VLOOKUP($A37,'Unify Report'!$A$1:$V$99,12,FALSE)</f>
        <v>1288</v>
      </c>
      <c r="N37">
        <f>VLOOKUP($A37,'Unify Report'!$A$1:$V$99,11,FALSE)</f>
        <v>1421.7666666666667</v>
      </c>
      <c r="O37">
        <f>VLOOKUP($A37,'Unify Report'!$A$1:$V$99,16,FALSE)</f>
        <v>322</v>
      </c>
      <c r="P37">
        <f>VLOOKUP($A37,'Unify Report'!$A$1:$V$99,15,FALSE)</f>
        <v>516.5</v>
      </c>
      <c r="Q37" s="97">
        <f>VLOOKUP($C37,CHPPD!$D$6:$Q$71,8,FALSE)</f>
        <v>357</v>
      </c>
      <c r="W37" t="s">
        <v>216</v>
      </c>
      <c r="X37" t="s">
        <v>184</v>
      </c>
      <c r="Y37" s="110" t="s">
        <v>260</v>
      </c>
      <c r="Z37" t="s">
        <v>185</v>
      </c>
      <c r="AA37" t="s">
        <v>188</v>
      </c>
    </row>
    <row r="38" spans="1:27">
      <c r="A38" s="21" t="s">
        <v>88</v>
      </c>
      <c r="B38" s="21" t="s">
        <v>242</v>
      </c>
      <c r="C38" s="70" t="s">
        <v>255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E406</v>
      </c>
      <c r="G38" t="str">
        <f t="shared" si="2"/>
        <v>361 - NEPHROLOGY</v>
      </c>
      <c r="H38" t="str">
        <f t="shared" si="3"/>
        <v>420 - PAEDIATRICS</v>
      </c>
      <c r="I38">
        <f>VLOOKUP($A38,'Unify Report'!$A$1:$V$99,4,FALSE)</f>
        <v>949.5</v>
      </c>
      <c r="J38">
        <f>VLOOKUP($A38,'Unify Report'!$A$1:$V$99,3,FALSE)</f>
        <v>971.83333333333337</v>
      </c>
      <c r="K38">
        <f>VLOOKUP($A38,'Unify Report'!$A$1:$V$99,8,FALSE)</f>
        <v>0</v>
      </c>
      <c r="L38">
        <f>VLOOKUP($A38,'Unify Report'!$A$1:$V$99,7,FALSE)</f>
        <v>87.75</v>
      </c>
      <c r="M38">
        <f>VLOOKUP($A38,'Unify Report'!$A$1:$V$99,12,FALSE)</f>
        <v>966</v>
      </c>
      <c r="N38">
        <f>VLOOKUP($A38,'Unify Report'!$A$1:$V$99,11,FALSE)</f>
        <v>994.75</v>
      </c>
      <c r="O38">
        <f>VLOOKUP($A38,'Unify Report'!$A$1:$V$99,16,FALSE)</f>
        <v>0</v>
      </c>
      <c r="P38">
        <f>VLOOKUP($A38,'Unify Report'!$A$1:$V$99,15,FALSE)</f>
        <v>90</v>
      </c>
      <c r="Q38" s="97">
        <f>VLOOKUP($C38,CHPPD!$D$6:$Q$71,8,FALSE)</f>
        <v>185</v>
      </c>
      <c r="W38" t="s">
        <v>217</v>
      </c>
      <c r="X38" t="s">
        <v>184</v>
      </c>
      <c r="Y38" s="110" t="s">
        <v>260</v>
      </c>
      <c r="Z38" t="s">
        <v>185</v>
      </c>
      <c r="AA38" t="s">
        <v>214</v>
      </c>
    </row>
    <row r="39" spans="1:27">
      <c r="A39" s="21" t="s">
        <v>89</v>
      </c>
      <c r="B39" s="21" t="s">
        <v>243</v>
      </c>
      <c r="C39" s="70" t="s">
        <v>256</v>
      </c>
      <c r="D39" t="str">
        <f t="shared" si="0"/>
        <v>RA723</v>
      </c>
      <c r="E39" t="str">
        <f t="shared" si="1"/>
        <v>Bristol Royal Hospital For Children</v>
      </c>
      <c r="F39" t="str">
        <f t="shared" si="4"/>
        <v>E500/1</v>
      </c>
      <c r="G39" t="str">
        <f t="shared" si="2"/>
        <v>420 - PAEDIATRICS</v>
      </c>
      <c r="H39" t="str">
        <f t="shared" si="3"/>
        <v>421 - PAEDIATRIC NEUROLOGY</v>
      </c>
      <c r="I39">
        <f>VLOOKUP($A39,'Unify Report'!$A$1:$V$99,4,FALSE)</f>
        <v>1920.5</v>
      </c>
      <c r="J39">
        <f>VLOOKUP($A39,'Unify Report'!$A$1:$V$99,3,FALSE)</f>
        <v>1831.4166666666667</v>
      </c>
      <c r="K39">
        <f>VLOOKUP($A39,'Unify Report'!$A$1:$V$99,8,FALSE)</f>
        <v>644</v>
      </c>
      <c r="L39">
        <f>VLOOKUP($A39,'Unify Report'!$A$1:$V$99,7,FALSE)</f>
        <v>679</v>
      </c>
      <c r="M39">
        <f>VLOOKUP($A39,'Unify Report'!$A$1:$V$99,12,FALSE)</f>
        <v>1932</v>
      </c>
      <c r="N39">
        <f>VLOOKUP($A39,'Unify Report'!$A$1:$V$99,11,FALSE)</f>
        <v>1864.5</v>
      </c>
      <c r="O39">
        <f>VLOOKUP($A39,'Unify Report'!$A$1:$V$99,16,FALSE)</f>
        <v>644</v>
      </c>
      <c r="P39">
        <f>VLOOKUP($A39,'Unify Report'!$A$1:$V$99,15,FALSE)</f>
        <v>621.25</v>
      </c>
      <c r="Q39" s="97">
        <f>VLOOKUP($C39,CHPPD!$D$6:$Q$71,8,FALSE)</f>
        <v>461</v>
      </c>
      <c r="W39" t="s">
        <v>218</v>
      </c>
      <c r="X39" t="s">
        <v>184</v>
      </c>
      <c r="Y39" s="110" t="s">
        <v>260</v>
      </c>
      <c r="Z39" t="s">
        <v>185</v>
      </c>
      <c r="AA39" t="s">
        <v>214</v>
      </c>
    </row>
    <row r="40" spans="1:27">
      <c r="A40" s="21" t="s">
        <v>90</v>
      </c>
      <c r="B40" s="21" t="s">
        <v>36</v>
      </c>
      <c r="C40" s="21" t="s">
        <v>124</v>
      </c>
      <c r="D40" t="str">
        <f t="shared" si="0"/>
        <v>RA707</v>
      </c>
      <c r="E40" t="str">
        <f t="shared" si="1"/>
        <v>St Michael's Hospital</v>
      </c>
      <c r="F40" t="str">
        <f t="shared" si="4"/>
        <v>MLU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681</v>
      </c>
      <c r="J40">
        <f>VLOOKUP($A40,'Unify Report'!$A$1:$V$99,3,FALSE)</f>
        <v>636</v>
      </c>
      <c r="K40">
        <f>VLOOKUP($A40,'Unify Report'!$A$1:$V$99,8,FALSE)</f>
        <v>0</v>
      </c>
      <c r="L40">
        <f>VLOOKUP($A40,'Unify Report'!$A$1:$V$99,7,FALSE)</f>
        <v>0</v>
      </c>
      <c r="M40">
        <f>VLOOKUP($A40,'Unify Report'!$A$1:$V$99,12,FALSE)</f>
        <v>672</v>
      </c>
      <c r="N40">
        <f>VLOOKUP($A40,'Unify Report'!$A$1:$V$99,11,FALSE)</f>
        <v>636</v>
      </c>
      <c r="O40">
        <f>VLOOKUP($A40,'Unify Report'!$A$1:$V$99,16,FALSE)</f>
        <v>0</v>
      </c>
      <c r="P40">
        <f>VLOOKUP($A40,'Unify Report'!$A$1:$V$99,15,FALSE)</f>
        <v>0</v>
      </c>
      <c r="Q40" s="97">
        <f>VLOOKUP($C40,CHPPD!$D$6:$Q$71,8,FALSE)</f>
        <v>29</v>
      </c>
      <c r="W40" t="s">
        <v>219</v>
      </c>
      <c r="X40" t="s">
        <v>184</v>
      </c>
      <c r="Y40" s="110" t="s">
        <v>260</v>
      </c>
      <c r="Z40" t="s">
        <v>185</v>
      </c>
      <c r="AA40" t="s">
        <v>214</v>
      </c>
    </row>
    <row r="41" spans="1:27">
      <c r="A41" s="21" t="s">
        <v>91</v>
      </c>
      <c r="B41" s="21" t="s">
        <v>35</v>
      </c>
      <c r="C41" s="22" t="s">
        <v>125</v>
      </c>
      <c r="D41" t="str">
        <f t="shared" si="0"/>
        <v>RA707</v>
      </c>
      <c r="E41" t="str">
        <f t="shared" si="1"/>
        <v>St Michael's Hospital</v>
      </c>
      <c r="F41" t="str">
        <f t="shared" si="4"/>
        <v>73</v>
      </c>
      <c r="G41" t="str">
        <f t="shared" si="2"/>
        <v>501 - OBSTETRICS</v>
      </c>
      <c r="H41" t="str">
        <f t="shared" si="3"/>
        <v/>
      </c>
      <c r="I41">
        <f>VLOOKUP($A41,'Unify Report'!$A$1:$V$99,4,FALSE)</f>
        <v>2455</v>
      </c>
      <c r="J41">
        <f>VLOOKUP($A41,'Unify Report'!$A$1:$V$99,3,FALSE)</f>
        <v>1987.5</v>
      </c>
      <c r="K41">
        <f>VLOOKUP($A41,'Unify Report'!$A$1:$V$99,8,FALSE)</f>
        <v>1066.5</v>
      </c>
      <c r="L41">
        <f>VLOOKUP($A41,'Unify Report'!$A$1:$V$99,7,FALSE)</f>
        <v>840.5</v>
      </c>
      <c r="M41">
        <f>VLOOKUP($A41,'Unify Report'!$A$1:$V$99,12,FALSE)</f>
        <v>2352</v>
      </c>
      <c r="N41">
        <f>VLOOKUP($A41,'Unify Report'!$A$1:$V$99,11,FALSE)</f>
        <v>2028</v>
      </c>
      <c r="O41">
        <f>VLOOKUP($A41,'Unify Report'!$A$1:$V$99,16,FALSE)</f>
        <v>672</v>
      </c>
      <c r="P41">
        <f>VLOOKUP($A41,'Unify Report'!$A$1:$V$99,15,FALSE)</f>
        <v>564</v>
      </c>
      <c r="Q41" s="97">
        <f>VLOOKUP($C41,CHPPD!$D$6:$Q$71,8,FALSE)</f>
        <v>725</v>
      </c>
      <c r="W41" t="s">
        <v>220</v>
      </c>
      <c r="X41" t="s">
        <v>184</v>
      </c>
      <c r="Y41" s="110" t="s">
        <v>260</v>
      </c>
      <c r="Z41" t="s">
        <v>185</v>
      </c>
      <c r="AA41" t="s">
        <v>214</v>
      </c>
    </row>
    <row r="42" spans="1:27">
      <c r="A42" s="21" t="s">
        <v>92</v>
      </c>
      <c r="B42" s="21" t="s">
        <v>38</v>
      </c>
      <c r="C42" s="22" t="s">
        <v>126</v>
      </c>
      <c r="D42" t="str">
        <f t="shared" si="0"/>
        <v>RA707</v>
      </c>
      <c r="E42" t="str">
        <f t="shared" si="1"/>
        <v>St Michael's Hospital</v>
      </c>
      <c r="F42" t="str">
        <f t="shared" si="4"/>
        <v>75</v>
      </c>
      <c r="G42" t="str">
        <f t="shared" si="2"/>
        <v>420 - PAEDIATRICS</v>
      </c>
      <c r="H42" t="str">
        <f t="shared" si="3"/>
        <v/>
      </c>
      <c r="I42">
        <f>VLOOKUP($A42,'Unify Report'!$A$1:$V$99,4,FALSE)</f>
        <v>5165.5</v>
      </c>
      <c r="J42">
        <f>VLOOKUP($A42,'Unify Report'!$A$1:$V$99,3,FALSE)</f>
        <v>4670.25</v>
      </c>
      <c r="K42">
        <f>VLOOKUP($A42,'Unify Report'!$A$1:$V$99,8,FALSE)</f>
        <v>985.5</v>
      </c>
      <c r="L42">
        <f>VLOOKUP($A42,'Unify Report'!$A$1:$V$99,7,FALSE)</f>
        <v>582</v>
      </c>
      <c r="M42">
        <f>VLOOKUP($A42,'Unify Report'!$A$1:$V$99,12,FALSE)</f>
        <v>5175</v>
      </c>
      <c r="N42">
        <f>VLOOKUP($A42,'Unify Report'!$A$1:$V$99,11,FALSE)</f>
        <v>4956.25</v>
      </c>
      <c r="O42">
        <f>VLOOKUP($A42,'Unify Report'!$A$1:$V$99,16,FALSE)</f>
        <v>966</v>
      </c>
      <c r="P42">
        <f>VLOOKUP($A42,'Unify Report'!$A$1:$V$99,15,FALSE)</f>
        <v>506</v>
      </c>
      <c r="Q42" s="97">
        <f>VLOOKUP($C42,CHPPD!$D$6:$Q$71,8,FALSE)</f>
        <v>798</v>
      </c>
      <c r="W42" t="s">
        <v>143</v>
      </c>
      <c r="X42" t="s">
        <v>184</v>
      </c>
      <c r="Y42" s="110" t="s">
        <v>260</v>
      </c>
      <c r="Z42" t="s">
        <v>185</v>
      </c>
      <c r="AA42" t="s">
        <v>214</v>
      </c>
    </row>
    <row r="43" spans="1:27">
      <c r="A43" s="21" t="s">
        <v>93</v>
      </c>
      <c r="B43" s="21" t="s">
        <v>33</v>
      </c>
      <c r="C43" s="22" t="s">
        <v>127</v>
      </c>
      <c r="D43" t="str">
        <f t="shared" si="0"/>
        <v>RA707</v>
      </c>
      <c r="E43" t="str">
        <f t="shared" si="1"/>
        <v>St Michael's Hospital</v>
      </c>
      <c r="F43" t="str">
        <f t="shared" si="4"/>
        <v>76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967.5</v>
      </c>
      <c r="J43">
        <f>VLOOKUP($A43,'Unify Report'!$A$1:$V$99,3,FALSE)</f>
        <v>1080.75</v>
      </c>
      <c r="K43">
        <f>VLOOKUP($A43,'Unify Report'!$A$1:$V$99,8,FALSE)</f>
        <v>607.5</v>
      </c>
      <c r="L43">
        <f>VLOOKUP($A43,'Unify Report'!$A$1:$V$99,7,FALSE)</f>
        <v>442.5</v>
      </c>
      <c r="M43">
        <f>VLOOKUP($A43,'Unify Report'!$A$1:$V$99,12,FALSE)</f>
        <v>658</v>
      </c>
      <c r="N43">
        <f>VLOOKUP($A43,'Unify Report'!$A$1:$V$99,11,FALSE)</f>
        <v>600.5</v>
      </c>
      <c r="O43">
        <f>VLOOKUP($A43,'Unify Report'!$A$1:$V$99,16,FALSE)</f>
        <v>576</v>
      </c>
      <c r="P43">
        <f>VLOOKUP($A43,'Unify Report'!$A$1:$V$99,15,FALSE)</f>
        <v>345.5</v>
      </c>
      <c r="Q43" s="97">
        <f>VLOOKUP($C43,CHPPD!$D$6:$Q$71,8,FALSE)</f>
        <v>246</v>
      </c>
      <c r="W43" t="s">
        <v>107</v>
      </c>
      <c r="X43" t="s">
        <v>221</v>
      </c>
      <c r="Y43" s="110" t="s">
        <v>261</v>
      </c>
      <c r="Z43" t="s">
        <v>222</v>
      </c>
      <c r="AA43" t="s">
        <v>185</v>
      </c>
    </row>
    <row r="44" spans="1:27">
      <c r="A44" s="21" t="s">
        <v>94</v>
      </c>
      <c r="B44" s="21" t="s">
        <v>34</v>
      </c>
      <c r="C44" s="22" t="s">
        <v>128</v>
      </c>
      <c r="D44" t="str">
        <f t="shared" si="0"/>
        <v>RA707</v>
      </c>
      <c r="E44" t="str">
        <f t="shared" si="1"/>
        <v>St Michael's Hospital</v>
      </c>
      <c r="F44" t="str">
        <f t="shared" si="4"/>
        <v>77</v>
      </c>
      <c r="G44" t="str">
        <f t="shared" si="2"/>
        <v>501 - OBSTETRICS</v>
      </c>
      <c r="H44" t="str">
        <f t="shared" si="3"/>
        <v/>
      </c>
      <c r="I44">
        <f>VLOOKUP($A44,'Unify Report'!$A$1:$V$99,4,FALSE)</f>
        <v>3346</v>
      </c>
      <c r="J44">
        <f>VLOOKUP($A44,'Unify Report'!$A$1:$V$99,3,FALSE)</f>
        <v>3254.5</v>
      </c>
      <c r="K44">
        <f>VLOOKUP($A44,'Unify Report'!$A$1:$V$99,8,FALSE)</f>
        <v>698.5</v>
      </c>
      <c r="L44">
        <f>VLOOKUP($A44,'Unify Report'!$A$1:$V$99,7,FALSE)</f>
        <v>563.5</v>
      </c>
      <c r="M44">
        <f>VLOOKUP($A44,'Unify Report'!$A$1:$V$99,12,FALSE)</f>
        <v>3024</v>
      </c>
      <c r="N44">
        <f>VLOOKUP($A44,'Unify Report'!$A$1:$V$99,11,FALSE)</f>
        <v>2941.5</v>
      </c>
      <c r="O44">
        <f>VLOOKUP($A44,'Unify Report'!$A$1:$V$99,16,FALSE)</f>
        <v>672</v>
      </c>
      <c r="P44">
        <f>VLOOKUP($A44,'Unify Report'!$A$1:$V$99,15,FALSE)</f>
        <v>597</v>
      </c>
      <c r="Q44" s="97">
        <f>VLOOKUP($C44,CHPPD!$D$6:$Q$71,8,FALSE)</f>
        <v>227</v>
      </c>
      <c r="W44" t="s">
        <v>108</v>
      </c>
      <c r="X44" t="s">
        <v>221</v>
      </c>
      <c r="Y44" s="110" t="s">
        <v>261</v>
      </c>
      <c r="Z44" t="s">
        <v>222</v>
      </c>
      <c r="AA44" t="s">
        <v>185</v>
      </c>
    </row>
    <row r="45" spans="1:27">
      <c r="A45" s="21" t="s">
        <v>95</v>
      </c>
      <c r="B45" s="21" t="s">
        <v>37</v>
      </c>
      <c r="C45" s="22" t="s">
        <v>129</v>
      </c>
      <c r="D45" t="str">
        <f t="shared" si="0"/>
        <v>RA707</v>
      </c>
      <c r="E45" t="str">
        <f t="shared" si="1"/>
        <v>St Michael's Hospital</v>
      </c>
      <c r="F45" t="str">
        <f t="shared" si="4"/>
        <v>78</v>
      </c>
      <c r="G45" t="str">
        <f t="shared" si="2"/>
        <v>502 - GYNAECOLOGY</v>
      </c>
      <c r="H45" t="str">
        <f t="shared" si="3"/>
        <v/>
      </c>
      <c r="I45">
        <f>VLOOKUP($A45,'Unify Report'!$A$1:$V$99,4,FALSE)</f>
        <v>1153.5</v>
      </c>
      <c r="J45">
        <f>VLOOKUP($A45,'Unify Report'!$A$1:$V$99,3,FALSE)</f>
        <v>1038.75</v>
      </c>
      <c r="K45">
        <f>VLOOKUP($A45,'Unify Report'!$A$1:$V$99,8,FALSE)</f>
        <v>851.25</v>
      </c>
      <c r="L45">
        <f>VLOOKUP($A45,'Unify Report'!$A$1:$V$99,7,FALSE)</f>
        <v>686.5</v>
      </c>
      <c r="M45">
        <f>VLOOKUP($A45,'Unify Report'!$A$1:$V$99,12,FALSE)</f>
        <v>748</v>
      </c>
      <c r="N45">
        <f>VLOOKUP($A45,'Unify Report'!$A$1:$V$99,11,FALSE)</f>
        <v>726</v>
      </c>
      <c r="O45">
        <f>VLOOKUP($A45,'Unify Report'!$A$1:$V$99,16,FALSE)</f>
        <v>527.25</v>
      </c>
      <c r="P45">
        <f>VLOOKUP($A45,'Unify Report'!$A$1:$V$99,15,FALSE)</f>
        <v>517</v>
      </c>
      <c r="Q45" s="97">
        <f>VLOOKUP($C45,CHPPD!$D$6:$Q$71,8,FALSE)</f>
        <v>336</v>
      </c>
      <c r="W45" s="110" t="s">
        <v>251</v>
      </c>
      <c r="X45" t="s">
        <v>196</v>
      </c>
      <c r="Y45" s="110" t="s">
        <v>261</v>
      </c>
      <c r="Z45" s="59" t="s">
        <v>198</v>
      </c>
      <c r="AA45" s="59" t="s">
        <v>188</v>
      </c>
    </row>
    <row r="46" spans="1:27">
      <c r="W46" s="58" t="s">
        <v>121</v>
      </c>
      <c r="X46" t="s">
        <v>184</v>
      </c>
      <c r="Y46" s="110" t="s">
        <v>260</v>
      </c>
      <c r="Z46" s="60" t="s">
        <v>190</v>
      </c>
      <c r="AA46" s="60"/>
    </row>
    <row r="47" spans="1:27">
      <c r="W47" s="58" t="s">
        <v>122</v>
      </c>
      <c r="X47" t="s">
        <v>184</v>
      </c>
      <c r="Y47" s="110" t="s">
        <v>260</v>
      </c>
      <c r="Z47" s="60" t="s">
        <v>190</v>
      </c>
    </row>
    <row r="48" spans="1:27">
      <c r="W48" t="s">
        <v>97</v>
      </c>
      <c r="X48" t="s">
        <v>184</v>
      </c>
      <c r="Y48" s="110" t="s">
        <v>260</v>
      </c>
      <c r="Z48" t="s">
        <v>185</v>
      </c>
    </row>
    <row r="49" spans="23:27">
      <c r="W49" t="s">
        <v>98</v>
      </c>
      <c r="X49" t="s">
        <v>184</v>
      </c>
      <c r="Y49" s="110" t="s">
        <v>260</v>
      </c>
      <c r="Z49" t="s">
        <v>214</v>
      </c>
    </row>
    <row r="50" spans="23:27">
      <c r="W50" t="s">
        <v>120</v>
      </c>
      <c r="X50" t="s">
        <v>184</v>
      </c>
      <c r="Y50" s="110" t="s">
        <v>260</v>
      </c>
      <c r="Z50" t="s">
        <v>190</v>
      </c>
    </row>
    <row r="51" spans="23:27">
      <c r="W51" t="s">
        <v>223</v>
      </c>
      <c r="X51" t="s">
        <v>184</v>
      </c>
      <c r="Y51" s="110" t="s">
        <v>260</v>
      </c>
      <c r="Z51" t="s">
        <v>185</v>
      </c>
      <c r="AA51" t="s">
        <v>214</v>
      </c>
    </row>
    <row r="52" spans="23:27">
      <c r="W52" t="s">
        <v>224</v>
      </c>
      <c r="X52" t="s">
        <v>184</v>
      </c>
      <c r="Y52" s="110" t="s">
        <v>260</v>
      </c>
      <c r="Z52" t="s">
        <v>185</v>
      </c>
      <c r="AA52" t="s">
        <v>214</v>
      </c>
    </row>
    <row r="53" spans="23:27">
      <c r="W53" t="s">
        <v>106</v>
      </c>
      <c r="X53" t="s">
        <v>184</v>
      </c>
      <c r="Y53" s="110" t="s">
        <v>260</v>
      </c>
      <c r="Z53" t="s">
        <v>185</v>
      </c>
    </row>
    <row r="54" spans="23:27">
      <c r="W54" t="s">
        <v>225</v>
      </c>
      <c r="X54" t="s">
        <v>184</v>
      </c>
      <c r="Y54" s="110" t="s">
        <v>260</v>
      </c>
      <c r="Z54" t="s">
        <v>185</v>
      </c>
    </row>
    <row r="55" spans="23:27">
      <c r="W55" t="s">
        <v>117</v>
      </c>
      <c r="X55" t="s">
        <v>184</v>
      </c>
      <c r="Y55" s="110" t="s">
        <v>260</v>
      </c>
      <c r="Z55" t="s">
        <v>185</v>
      </c>
      <c r="AA55" t="s">
        <v>190</v>
      </c>
    </row>
    <row r="56" spans="23:27">
      <c r="W56" t="s">
        <v>100</v>
      </c>
      <c r="X56" t="s">
        <v>184</v>
      </c>
      <c r="Y56" s="110" t="s">
        <v>260</v>
      </c>
      <c r="Z56" t="s">
        <v>185</v>
      </c>
    </row>
    <row r="57" spans="23:27">
      <c r="W57" t="s">
        <v>104</v>
      </c>
      <c r="X57" t="s">
        <v>184</v>
      </c>
      <c r="Y57" s="110" t="s">
        <v>260</v>
      </c>
      <c r="Z57" t="s">
        <v>214</v>
      </c>
    </row>
    <row r="58" spans="23:27">
      <c r="W58" t="s">
        <v>102</v>
      </c>
      <c r="X58" t="s">
        <v>184</v>
      </c>
      <c r="Y58" s="110" t="s">
        <v>260</v>
      </c>
      <c r="Z58" t="s">
        <v>185</v>
      </c>
    </row>
    <row r="59" spans="23:27">
      <c r="W59" s="58" t="s">
        <v>125</v>
      </c>
      <c r="X59" t="s">
        <v>201</v>
      </c>
      <c r="Y59" s="110" t="s">
        <v>262</v>
      </c>
      <c r="Z59" t="s">
        <v>202</v>
      </c>
    </row>
    <row r="60" spans="23:27">
      <c r="W60" s="58" t="s">
        <v>128</v>
      </c>
      <c r="X60" t="s">
        <v>201</v>
      </c>
      <c r="Y60" s="110" t="s">
        <v>262</v>
      </c>
      <c r="Z60" t="s">
        <v>202</v>
      </c>
    </row>
    <row r="61" spans="23:27">
      <c r="W61" t="s">
        <v>124</v>
      </c>
      <c r="X61" t="s">
        <v>201</v>
      </c>
      <c r="Y61" s="110" t="s">
        <v>262</v>
      </c>
      <c r="Z61" t="s">
        <v>202</v>
      </c>
    </row>
    <row r="62" spans="23:27">
      <c r="W62" t="s">
        <v>110</v>
      </c>
      <c r="X62" t="s">
        <v>184</v>
      </c>
      <c r="Y62" s="113" t="s">
        <v>260</v>
      </c>
      <c r="Z62" t="s">
        <v>187</v>
      </c>
      <c r="AA62" t="s">
        <v>195</v>
      </c>
    </row>
    <row r="63" spans="23:27">
      <c r="W63" s="110" t="s">
        <v>256</v>
      </c>
      <c r="X63" t="s">
        <v>196</v>
      </c>
      <c r="Y63" s="110" t="s">
        <v>261</v>
      </c>
      <c r="Z63" t="s">
        <v>198</v>
      </c>
      <c r="AA63" t="s">
        <v>205</v>
      </c>
    </row>
  </sheetData>
  <autoFilter ref="I2:P4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201901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Report'!$A$2:$V$99,3,FALSE)</f>
        <v>1412</v>
      </c>
      <c r="I3" s="29">
        <f>VLOOKUP($B3,'Unify Report'!$A$2:$V$99,4,FALSE)</f>
        <v>1244.25</v>
      </c>
      <c r="J3" s="28">
        <f>VLOOKUP($B3,'Unify Report'!$A$2:$V$99,11,FALSE)</f>
        <v>913</v>
      </c>
      <c r="K3" s="29">
        <f>VLOOKUP($B3,'Unify Report'!$A$2:$V$99,12,FALSE)</f>
        <v>924</v>
      </c>
      <c r="L3" s="28">
        <f>VLOOKUP($B3,'Unify Report'!$A$2:$V$99,7,FALSE)</f>
        <v>1650.5833333333333</v>
      </c>
      <c r="M3" s="29">
        <f>VLOOKUP($B3,'Unify Report'!$A$2:$V$99,8,FALSE)</f>
        <v>979</v>
      </c>
      <c r="N3" s="28">
        <f>VLOOKUP($B3,'Unify Report'!$A$2:$V$99,15,FALSE)</f>
        <v>1536.5</v>
      </c>
      <c r="O3" s="30">
        <f>VLOOKUP($B3,'Unify Report'!$A$2:$V$99,16,FALSE)</f>
        <v>616</v>
      </c>
    </row>
    <row r="4" spans="1:15">
      <c r="A4" s="21">
        <v>201901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Report'!$A$2:$V$99,3,FALSE)</f>
        <v>2401.75</v>
      </c>
      <c r="I4" s="29">
        <f>VLOOKUP($B4,'Unify Report'!$A$2:$V$99,4,FALSE)</f>
        <v>2411.75</v>
      </c>
      <c r="J4" s="28">
        <f>VLOOKUP($B4,'Unify Report'!$A$2:$V$99,11,FALSE)</f>
        <v>2069.5</v>
      </c>
      <c r="K4" s="29">
        <f>VLOOKUP($B4,'Unify Report'!$A$2:$V$99,12,FALSE)</f>
        <v>2156</v>
      </c>
      <c r="L4" s="28">
        <f>VLOOKUP($B4,'Unify Report'!$A$2:$V$99,7,FALSE)</f>
        <v>1745.9166666666667</v>
      </c>
      <c r="M4" s="29">
        <f>VLOOKUP($B4,'Unify Report'!$A$2:$V$99,8,FALSE)</f>
        <v>1732</v>
      </c>
      <c r="N4" s="28">
        <f>VLOOKUP($B4,'Unify Report'!$A$2:$V$99,15,FALSE)</f>
        <v>1639</v>
      </c>
      <c r="O4" s="30">
        <f>VLOOKUP($B4,'Unify Report'!$A$2:$V$99,16,FALSE)</f>
        <v>1606</v>
      </c>
    </row>
    <row r="5" spans="1:15">
      <c r="A5" s="21">
        <v>201901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Report'!$A$2:$V$99,3,FALSE)</f>
        <v>1937.25</v>
      </c>
      <c r="I5" s="29">
        <f>VLOOKUP($B5,'Unify Report'!$A$2:$V$99,4,FALSE)</f>
        <v>2028.25</v>
      </c>
      <c r="J5" s="28">
        <f>VLOOKUP($B5,'Unify Report'!$A$2:$V$99,11,FALSE)</f>
        <v>1485</v>
      </c>
      <c r="K5" s="29">
        <f>VLOOKUP($B5,'Unify Report'!$A$2:$V$99,12,FALSE)</f>
        <v>1540</v>
      </c>
      <c r="L5" s="28">
        <f>VLOOKUP($B5,'Unify Report'!$A$2:$V$99,7,FALSE)</f>
        <v>1944.5</v>
      </c>
      <c r="M5" s="29">
        <f>VLOOKUP($B5,'Unify Report'!$A$2:$V$99,8,FALSE)</f>
        <v>1679</v>
      </c>
      <c r="N5" s="28">
        <f>VLOOKUP($B5,'Unify Report'!$A$2:$V$99,15,FALSE)</f>
        <v>1675.7666666666667</v>
      </c>
      <c r="O5" s="30">
        <f>VLOOKUP($B5,'Unify Report'!$A$2:$V$99,16,FALSE)</f>
        <v>1232</v>
      </c>
    </row>
    <row r="6" spans="1:15">
      <c r="A6" s="21">
        <v>201901</v>
      </c>
      <c r="B6" s="70" t="s">
        <v>270</v>
      </c>
      <c r="C6" s="21" t="s">
        <v>266</v>
      </c>
      <c r="D6" s="98" t="s">
        <v>265</v>
      </c>
      <c r="E6" s="56" t="s">
        <v>159</v>
      </c>
      <c r="F6" s="56" t="s">
        <v>164</v>
      </c>
      <c r="G6" s="56" t="s">
        <v>159</v>
      </c>
      <c r="H6" s="28">
        <f>VLOOKUP($B6,'Unify Report'!$A$2:$V$99,3,FALSE)</f>
        <v>678</v>
      </c>
      <c r="I6" s="29">
        <f>VLOOKUP($B6,'Unify Report'!$A$2:$V$99,4,FALSE)</f>
        <v>679.5</v>
      </c>
      <c r="J6" s="28">
        <f>VLOOKUP($B6,'Unify Report'!$A$2:$V$99,11,FALSE)</f>
        <v>616.75</v>
      </c>
      <c r="K6" s="29">
        <f>VLOOKUP($B6,'Unify Report'!$A$2:$V$99,12,FALSE)</f>
        <v>616</v>
      </c>
      <c r="L6" s="28">
        <f>VLOOKUP($B6,'Unify Report'!$A$2:$V$99,7,FALSE)</f>
        <v>305</v>
      </c>
      <c r="M6" s="29">
        <f>VLOOKUP($B6,'Unify Report'!$A$2:$V$99,8,FALSE)</f>
        <v>327.25</v>
      </c>
      <c r="N6" s="28">
        <f>VLOOKUP($B6,'Unify Report'!$A$2:$V$99,15,FALSE)</f>
        <v>297</v>
      </c>
      <c r="O6" s="30">
        <f>VLOOKUP($B6,'Unify Report'!$A$2:$V$99,16,FALSE)</f>
        <v>308</v>
      </c>
    </row>
    <row r="7" spans="1:15">
      <c r="A7" s="21">
        <v>201901</v>
      </c>
      <c r="B7" s="21" t="s">
        <v>57</v>
      </c>
      <c r="C7" s="21" t="s">
        <v>13</v>
      </c>
      <c r="D7" s="21" t="s">
        <v>99</v>
      </c>
      <c r="E7" s="56" t="s">
        <v>159</v>
      </c>
      <c r="F7" s="56" t="s">
        <v>164</v>
      </c>
      <c r="G7" s="56" t="s">
        <v>159</v>
      </c>
      <c r="H7" s="28">
        <f>VLOOKUP($B7,'Unify Report'!$A$2:$V$99,3,FALSE)</f>
        <v>1536.0833333333333</v>
      </c>
      <c r="I7" s="29">
        <f>VLOOKUP($B7,'Unify Report'!$A$2:$V$99,4,FALSE)</f>
        <v>1687</v>
      </c>
      <c r="J7" s="28">
        <f>VLOOKUP($B7,'Unify Report'!$A$2:$V$99,11,FALSE)</f>
        <v>1221.25</v>
      </c>
      <c r="K7" s="29">
        <f>VLOOKUP($B7,'Unify Report'!$A$2:$V$99,12,FALSE)</f>
        <v>1232</v>
      </c>
      <c r="L7" s="28">
        <f>VLOOKUP($B7,'Unify Report'!$A$2:$V$99,7,FALSE)</f>
        <v>998.75</v>
      </c>
      <c r="M7" s="29">
        <f>VLOOKUP($B7,'Unify Report'!$A$2:$V$99,8,FALSE)</f>
        <v>1014</v>
      </c>
      <c r="N7" s="28">
        <f>VLOOKUP($B7,'Unify Report'!$A$2:$V$99,15,FALSE)</f>
        <v>933.25</v>
      </c>
      <c r="O7" s="30">
        <f>VLOOKUP($B7,'Unify Report'!$A$2:$V$99,16,FALSE)</f>
        <v>913</v>
      </c>
    </row>
    <row r="8" spans="1:15">
      <c r="A8" s="21">
        <v>201901</v>
      </c>
      <c r="B8" s="21" t="s">
        <v>58</v>
      </c>
      <c r="C8" s="21" t="s">
        <v>18</v>
      </c>
      <c r="D8" s="21" t="s">
        <v>100</v>
      </c>
      <c r="E8" s="56" t="s">
        <v>159</v>
      </c>
      <c r="F8" s="56" t="s">
        <v>164</v>
      </c>
      <c r="G8" s="56" t="s">
        <v>159</v>
      </c>
      <c r="H8" s="28">
        <f>VLOOKUP($B8,'Unify Report'!$A$2:$V$99,3,FALSE)</f>
        <v>994.25</v>
      </c>
      <c r="I8" s="29">
        <f>VLOOKUP($B8,'Unify Report'!$A$2:$V$99,4,FALSE)</f>
        <v>995.5</v>
      </c>
      <c r="J8" s="28">
        <f>VLOOKUP($B8,'Unify Report'!$A$2:$V$99,11,FALSE)</f>
        <v>616</v>
      </c>
      <c r="K8" s="29">
        <f>VLOOKUP($B8,'Unify Report'!$A$2:$V$99,12,FALSE)</f>
        <v>616</v>
      </c>
      <c r="L8" s="28">
        <f>VLOOKUP($B8,'Unify Report'!$A$2:$V$99,7,FALSE)</f>
        <v>723</v>
      </c>
      <c r="M8" s="29">
        <f>VLOOKUP($B8,'Unify Report'!$A$2:$V$99,8,FALSE)</f>
        <v>672.75</v>
      </c>
      <c r="N8" s="28">
        <f>VLOOKUP($B8,'Unify Report'!$A$2:$V$99,15,FALSE)</f>
        <v>764</v>
      </c>
      <c r="O8" s="30">
        <f>VLOOKUP($B8,'Unify Report'!$A$2:$V$99,16,FALSE)</f>
        <v>616</v>
      </c>
    </row>
    <row r="9" spans="1:15">
      <c r="A9" s="21">
        <v>201901</v>
      </c>
      <c r="B9" s="21" t="s">
        <v>59</v>
      </c>
      <c r="C9" s="21" t="s">
        <v>15</v>
      </c>
      <c r="D9" s="21" t="s">
        <v>101</v>
      </c>
      <c r="E9" s="56" t="s">
        <v>159</v>
      </c>
      <c r="F9" s="56" t="s">
        <v>164</v>
      </c>
      <c r="G9" s="56" t="s">
        <v>159</v>
      </c>
      <c r="H9" s="28">
        <f>VLOOKUP($B9,'Unify Report'!$A$2:$V$99,3,FALSE)</f>
        <v>1468.25</v>
      </c>
      <c r="I9" s="29">
        <f>VLOOKUP($B9,'Unify Report'!$A$2:$V$99,4,FALSE)</f>
        <v>1480</v>
      </c>
      <c r="J9" s="28">
        <f>VLOOKUP($B9,'Unify Report'!$A$2:$V$99,11,FALSE)</f>
        <v>915</v>
      </c>
      <c r="K9" s="29">
        <f>VLOOKUP($B9,'Unify Report'!$A$2:$V$99,12,FALSE)</f>
        <v>924</v>
      </c>
      <c r="L9" s="28">
        <f>VLOOKUP($B9,'Unify Report'!$A$2:$V$99,7,FALSE)</f>
        <v>1002.5</v>
      </c>
      <c r="M9" s="29">
        <f>VLOOKUP($B9,'Unify Report'!$A$2:$V$99,8,FALSE)</f>
        <v>1025.25</v>
      </c>
      <c r="N9" s="28">
        <f>VLOOKUP($B9,'Unify Report'!$A$2:$V$99,15,FALSE)</f>
        <v>1052.9833333333333</v>
      </c>
      <c r="O9" s="30">
        <f>VLOOKUP($B9,'Unify Report'!$A$2:$V$99,16,FALSE)</f>
        <v>924</v>
      </c>
    </row>
    <row r="10" spans="1:15">
      <c r="A10" s="21">
        <v>201901</v>
      </c>
      <c r="B10" s="21" t="s">
        <v>60</v>
      </c>
      <c r="C10" s="21" t="s">
        <v>22</v>
      </c>
      <c r="D10" s="21" t="s">
        <v>102</v>
      </c>
      <c r="E10" s="56" t="s">
        <v>159</v>
      </c>
      <c r="F10" s="56" t="s">
        <v>164</v>
      </c>
      <c r="G10" s="56" t="s">
        <v>159</v>
      </c>
      <c r="H10" s="28">
        <f>VLOOKUP($B10,'Unify Report'!$A$2:$V$99,3,FALSE)</f>
        <v>997</v>
      </c>
      <c r="I10" s="29">
        <f>VLOOKUP($B10,'Unify Report'!$A$2:$V$99,4,FALSE)</f>
        <v>1009</v>
      </c>
      <c r="J10" s="28">
        <f>VLOOKUP($B10,'Unify Report'!$A$2:$V$99,11,FALSE)</f>
        <v>924</v>
      </c>
      <c r="K10" s="29">
        <f>VLOOKUP($B10,'Unify Report'!$A$2:$V$99,12,FALSE)</f>
        <v>924</v>
      </c>
      <c r="L10" s="28">
        <f>VLOOKUP($B10,'Unify Report'!$A$2:$V$99,7,FALSE)</f>
        <v>816.75</v>
      </c>
      <c r="M10" s="29">
        <f>VLOOKUP($B10,'Unify Report'!$A$2:$V$99,8,FALSE)</f>
        <v>847.5</v>
      </c>
      <c r="N10" s="28">
        <f>VLOOKUP($B10,'Unify Report'!$A$2:$V$99,15,FALSE)</f>
        <v>410.21666666666664</v>
      </c>
      <c r="O10" s="30">
        <f>VLOOKUP($B10,'Unify Report'!$A$2:$V$99,16,FALSE)</f>
        <v>308</v>
      </c>
    </row>
    <row r="11" spans="1:15">
      <c r="A11" s="21">
        <v>201901</v>
      </c>
      <c r="B11" s="21" t="s">
        <v>61</v>
      </c>
      <c r="C11" s="21" t="s">
        <v>23</v>
      </c>
      <c r="D11" s="21" t="s">
        <v>103</v>
      </c>
      <c r="E11" s="56" t="s">
        <v>159</v>
      </c>
      <c r="F11" s="56" t="s">
        <v>164</v>
      </c>
      <c r="G11" s="56" t="s">
        <v>159</v>
      </c>
      <c r="H11" s="28">
        <f>VLOOKUP($B11,'Unify Report'!$A$2:$V$99,3,FALSE)</f>
        <v>1273.75</v>
      </c>
      <c r="I11" s="29">
        <f>VLOOKUP($B11,'Unify Report'!$A$2:$V$99,4,FALSE)</f>
        <v>1354</v>
      </c>
      <c r="J11" s="28">
        <f>VLOOKUP($B11,'Unify Report'!$A$2:$V$99,11,FALSE)</f>
        <v>1216.3166666666666</v>
      </c>
      <c r="K11" s="29">
        <f>VLOOKUP($B11,'Unify Report'!$A$2:$V$99,12,FALSE)</f>
        <v>1234.56666666667</v>
      </c>
      <c r="L11" s="28">
        <f>VLOOKUP($B11,'Unify Report'!$A$2:$V$99,7,FALSE)</f>
        <v>706.5</v>
      </c>
      <c r="M11" s="29">
        <f>VLOOKUP($B11,'Unify Report'!$A$2:$V$99,8,FALSE)</f>
        <v>666.75</v>
      </c>
      <c r="N11" s="28">
        <f>VLOOKUP($B11,'Unify Report'!$A$2:$V$99,15,FALSE)</f>
        <v>704.5</v>
      </c>
      <c r="O11" s="30">
        <f>VLOOKUP($B11,'Unify Report'!$A$2:$V$99,16,FALSE)</f>
        <v>616</v>
      </c>
    </row>
    <row r="12" spans="1:15">
      <c r="A12" s="21">
        <v>201901</v>
      </c>
      <c r="B12" s="21" t="s">
        <v>62</v>
      </c>
      <c r="C12" s="21" t="s">
        <v>16</v>
      </c>
      <c r="D12" s="21" t="s">
        <v>104</v>
      </c>
      <c r="E12" s="56" t="s">
        <v>159</v>
      </c>
      <c r="F12" s="56" t="s">
        <v>164</v>
      </c>
      <c r="G12" s="56" t="s">
        <v>159</v>
      </c>
      <c r="H12" s="28">
        <f>VLOOKUP($B12,'Unify Report'!$A$2:$V$99,3,FALSE)</f>
        <v>944.58333333333337</v>
      </c>
      <c r="I12" s="29">
        <f>VLOOKUP($B12,'Unify Report'!$A$2:$V$99,4,FALSE)</f>
        <v>1016.75</v>
      </c>
      <c r="J12" s="28">
        <f>VLOOKUP($B12,'Unify Report'!$A$2:$V$99,11,FALSE)</f>
        <v>616</v>
      </c>
      <c r="K12" s="29">
        <f>VLOOKUP($B12,'Unify Report'!$A$2:$V$99,12,FALSE)</f>
        <v>616</v>
      </c>
      <c r="L12" s="28">
        <f>VLOOKUP($B12,'Unify Report'!$A$2:$V$99,7,FALSE)</f>
        <v>1488.75</v>
      </c>
      <c r="M12" s="29">
        <f>VLOOKUP($B12,'Unify Report'!$A$2:$V$99,8,FALSE)</f>
        <v>1003.25</v>
      </c>
      <c r="N12" s="28">
        <f>VLOOKUP($B12,'Unify Report'!$A$2:$V$99,15,FALSE)</f>
        <v>1430</v>
      </c>
      <c r="O12" s="30">
        <f>VLOOKUP($B12,'Unify Report'!$A$2:$V$99,16,FALSE)</f>
        <v>616</v>
      </c>
    </row>
    <row r="13" spans="1:15">
      <c r="A13" s="21">
        <v>201901</v>
      </c>
      <c r="B13" s="21" t="s">
        <v>63</v>
      </c>
      <c r="C13" s="21" t="s">
        <v>14</v>
      </c>
      <c r="D13" s="21" t="s">
        <v>105</v>
      </c>
      <c r="E13" s="56" t="s">
        <v>159</v>
      </c>
      <c r="F13" s="56" t="s">
        <v>164</v>
      </c>
      <c r="G13" s="56" t="s">
        <v>159</v>
      </c>
      <c r="H13" s="28">
        <f>VLOOKUP($B13,'Unify Report'!$A$2:$V$99,3,FALSE)</f>
        <v>669.25</v>
      </c>
      <c r="I13" s="29">
        <f>VLOOKUP($B13,'Unify Report'!$A$2:$V$99,4,FALSE)</f>
        <v>674.49999999999966</v>
      </c>
      <c r="J13" s="28">
        <f>VLOOKUP($B13,'Unify Report'!$A$2:$V$99,11,FALSE)</f>
        <v>605</v>
      </c>
      <c r="K13" s="29">
        <f>VLOOKUP($B13,'Unify Report'!$A$2:$V$99,12,FALSE)</f>
        <v>616</v>
      </c>
      <c r="L13" s="28">
        <f>VLOOKUP($B13,'Unify Report'!$A$2:$V$99,7,FALSE)</f>
        <v>1743.5</v>
      </c>
      <c r="M13" s="29">
        <f>VLOOKUP($B13,'Unify Report'!$A$2:$V$99,8,FALSE)</f>
        <v>1332.75</v>
      </c>
      <c r="N13" s="28">
        <f>VLOOKUP($B13,'Unify Report'!$A$2:$V$99,15,FALSE)</f>
        <v>1078</v>
      </c>
      <c r="O13" s="30">
        <f>VLOOKUP($B13,'Unify Report'!$A$2:$V$99,16,FALSE)</f>
        <v>616</v>
      </c>
    </row>
    <row r="14" spans="1:15">
      <c r="A14" s="21">
        <v>201901</v>
      </c>
      <c r="B14" s="21" t="s">
        <v>64</v>
      </c>
      <c r="C14" s="21" t="s">
        <v>21</v>
      </c>
      <c r="D14" s="21" t="s">
        <v>106</v>
      </c>
      <c r="E14" s="56" t="s">
        <v>159</v>
      </c>
      <c r="F14" s="56" t="s">
        <v>164</v>
      </c>
      <c r="G14" s="56" t="s">
        <v>159</v>
      </c>
      <c r="H14" s="28">
        <f>VLOOKUP($B14,'Unify Report'!$A$2:$V$99,3,FALSE)</f>
        <v>1387.25</v>
      </c>
      <c r="I14" s="29">
        <f>VLOOKUP($B14,'Unify Report'!$A$2:$V$99,4,FALSE)</f>
        <v>1233</v>
      </c>
      <c r="J14" s="28">
        <f>VLOOKUP($B14,'Unify Report'!$A$2:$V$99,11,FALSE)</f>
        <v>1111</v>
      </c>
      <c r="K14" s="29">
        <f>VLOOKUP($B14,'Unify Report'!$A$2:$V$99,12,FALSE)</f>
        <v>924</v>
      </c>
      <c r="L14" s="28">
        <f>VLOOKUP($B14,'Unify Report'!$A$2:$V$99,7,FALSE)</f>
        <v>1088.5</v>
      </c>
      <c r="M14" s="29">
        <f>VLOOKUP($B14,'Unify Report'!$A$2:$V$99,8,FALSE)</f>
        <v>1011</v>
      </c>
      <c r="N14" s="28">
        <f>VLOOKUP($B14,'Unify Report'!$A$2:$V$99,15,FALSE)</f>
        <v>796.75</v>
      </c>
      <c r="O14" s="30">
        <f>VLOOKUP($B14,'Unify Report'!$A$2:$V$99,16,FALSE)</f>
        <v>616</v>
      </c>
    </row>
    <row r="15" spans="1:15">
      <c r="A15" s="21">
        <v>201901</v>
      </c>
      <c r="B15" s="21" t="s">
        <v>65</v>
      </c>
      <c r="C15" s="21" t="s">
        <v>24</v>
      </c>
      <c r="D15" s="22" t="s">
        <v>107</v>
      </c>
      <c r="E15" s="56" t="s">
        <v>159</v>
      </c>
      <c r="F15" s="57" t="s">
        <v>165</v>
      </c>
      <c r="G15" s="56" t="s">
        <v>159</v>
      </c>
      <c r="H15" s="28">
        <f>VLOOKUP($B15,'Unify Report'!$A$2:$V$99,3,FALSE)</f>
        <v>1455</v>
      </c>
      <c r="I15" s="29">
        <f>VLOOKUP($B15,'Unify Report'!$A$2:$V$99,4,FALSE)</f>
        <v>1362.75</v>
      </c>
      <c r="J15" s="28">
        <f>VLOOKUP($B15,'Unify Report'!$A$2:$V$99,11,FALSE)</f>
        <v>781.5</v>
      </c>
      <c r="K15" s="29">
        <f>VLOOKUP($B15,'Unify Report'!$A$2:$V$99,12,FALSE)</f>
        <v>616</v>
      </c>
      <c r="L15" s="28">
        <f>VLOOKUP($B15,'Unify Report'!$A$2:$V$99,7,FALSE)</f>
        <v>1587</v>
      </c>
      <c r="M15" s="29">
        <f>VLOOKUP($B15,'Unify Report'!$A$2:$V$99,8,FALSE)</f>
        <v>1711.5</v>
      </c>
      <c r="N15" s="28">
        <f>VLOOKUP($B15,'Unify Report'!$A$2:$V$99,15,FALSE)</f>
        <v>1042.25</v>
      </c>
      <c r="O15" s="30">
        <f>VLOOKUP($B15,'Unify Report'!$A$2:$V$99,16,FALSE)</f>
        <v>924</v>
      </c>
    </row>
    <row r="16" spans="1:15">
      <c r="A16" s="21">
        <v>201901</v>
      </c>
      <c r="B16" s="21" t="s">
        <v>66</v>
      </c>
      <c r="C16" s="21" t="s">
        <v>25</v>
      </c>
      <c r="D16" s="22" t="s">
        <v>108</v>
      </c>
      <c r="E16" s="56" t="s">
        <v>159</v>
      </c>
      <c r="F16" s="57" t="s">
        <v>165</v>
      </c>
      <c r="G16" s="56" t="s">
        <v>159</v>
      </c>
      <c r="H16" s="28">
        <f>VLOOKUP($B16,'Unify Report'!$A$2:$V$99,3,FALSE)</f>
        <v>1432.5</v>
      </c>
      <c r="I16" s="29">
        <f>VLOOKUP($B16,'Unify Report'!$A$2:$V$99,4,FALSE)</f>
        <v>1359.5</v>
      </c>
      <c r="J16" s="28">
        <f>VLOOKUP($B16,'Unify Report'!$A$2:$V$99,11,FALSE)</f>
        <v>781</v>
      </c>
      <c r="K16" s="29">
        <f>VLOOKUP($B16,'Unify Report'!$A$2:$V$99,12,FALSE)</f>
        <v>616</v>
      </c>
      <c r="L16" s="28">
        <f>VLOOKUP($B16,'Unify Report'!$A$2:$V$99,7,FALSE)</f>
        <v>1295.25</v>
      </c>
      <c r="M16" s="29">
        <f>VLOOKUP($B16,'Unify Report'!$A$2:$V$99,8,FALSE)</f>
        <v>1531.5</v>
      </c>
      <c r="N16" s="28">
        <f>VLOOKUP($B16,'Unify Report'!$A$2:$V$99,15,FALSE)</f>
        <v>1166</v>
      </c>
      <c r="O16" s="30">
        <f>VLOOKUP($B16,'Unify Report'!$A$2:$V$99,16,FALSE)</f>
        <v>913</v>
      </c>
    </row>
    <row r="17" spans="1:15">
      <c r="A17" s="21">
        <v>201901</v>
      </c>
      <c r="B17" s="21" t="s">
        <v>67</v>
      </c>
      <c r="C17" s="21" t="s">
        <v>27</v>
      </c>
      <c r="D17" s="21" t="s">
        <v>109</v>
      </c>
      <c r="E17" s="56" t="s">
        <v>160</v>
      </c>
      <c r="F17" s="56" t="s">
        <v>164</v>
      </c>
      <c r="G17" s="56" t="s">
        <v>171</v>
      </c>
      <c r="H17" s="28">
        <f>VLOOKUP($B17,'Unify Report'!$A$2:$V$99,3,FALSE)</f>
        <v>1528</v>
      </c>
      <c r="I17" s="29">
        <f>VLOOKUP($B17,'Unify Report'!$A$2:$V$99,4,FALSE)</f>
        <v>1686.5</v>
      </c>
      <c r="J17" s="28">
        <f>VLOOKUP($B17,'Unify Report'!$A$2:$V$99,11,FALSE)</f>
        <v>1232.5</v>
      </c>
      <c r="K17" s="29">
        <f>VLOOKUP($B17,'Unify Report'!$A$2:$V$99,12,FALSE)</f>
        <v>1232</v>
      </c>
      <c r="L17" s="28">
        <f>VLOOKUP($B17,'Unify Report'!$A$2:$V$99,7,FALSE)</f>
        <v>271.5</v>
      </c>
      <c r="M17" s="29">
        <f>VLOOKUP($B17,'Unify Report'!$A$2:$V$99,8,FALSE)</f>
        <v>340.75</v>
      </c>
      <c r="N17" s="28">
        <f>VLOOKUP($B17,'Unify Report'!$A$2:$V$99,15,FALSE)</f>
        <v>306.13333333333333</v>
      </c>
      <c r="O17" s="30">
        <f>VLOOKUP($B17,'Unify Report'!$A$2:$V$99,16,FALSE)</f>
        <v>306.13333333333298</v>
      </c>
    </row>
    <row r="18" spans="1:15">
      <c r="A18" s="21">
        <v>201901</v>
      </c>
      <c r="B18" s="21" t="s">
        <v>68</v>
      </c>
      <c r="C18" s="21" t="s">
        <v>30</v>
      </c>
      <c r="D18" s="21" t="s">
        <v>110</v>
      </c>
      <c r="E18" s="56" t="s">
        <v>160</v>
      </c>
      <c r="F18" s="56" t="s">
        <v>164</v>
      </c>
      <c r="G18" s="56" t="s">
        <v>171</v>
      </c>
      <c r="H18" s="28">
        <f>VLOOKUP($B18,'Unify Report'!$A$2:$V$99,3,FALSE)</f>
        <v>5536.5</v>
      </c>
      <c r="I18" s="29">
        <f>VLOOKUP($B18,'Unify Report'!$A$2:$V$99,4,FALSE)</f>
        <v>5778.75</v>
      </c>
      <c r="J18" s="28">
        <f>VLOOKUP($B18,'Unify Report'!$A$2:$V$99,11,FALSE)</f>
        <v>5405.666666666667</v>
      </c>
      <c r="K18" s="29">
        <f>VLOOKUP($B18,'Unify Report'!$A$2:$V$99,12,FALSE)</f>
        <v>5750</v>
      </c>
      <c r="L18" s="28">
        <f>VLOOKUP($B18,'Unify Report'!$A$2:$V$99,7,FALSE)</f>
        <v>482.25</v>
      </c>
      <c r="M18" s="29">
        <f>VLOOKUP($B18,'Unify Report'!$A$2:$V$99,8,FALSE)</f>
        <v>553.6999999999997</v>
      </c>
      <c r="N18" s="28">
        <f>VLOOKUP($B18,'Unify Report'!$A$2:$V$99,15,FALSE)</f>
        <v>517.5</v>
      </c>
      <c r="O18" s="30">
        <f>VLOOKUP($B18,'Unify Report'!$A$2:$V$99,16,FALSE)</f>
        <v>322</v>
      </c>
    </row>
    <row r="19" spans="1:15">
      <c r="A19" s="21">
        <v>201901</v>
      </c>
      <c r="B19" s="21" t="s">
        <v>69</v>
      </c>
      <c r="C19" s="21" t="s">
        <v>29</v>
      </c>
      <c r="D19" s="21" t="s">
        <v>111</v>
      </c>
      <c r="E19" s="56" t="s">
        <v>160</v>
      </c>
      <c r="F19" s="56" t="s">
        <v>164</v>
      </c>
      <c r="G19" s="56" t="s">
        <v>171</v>
      </c>
      <c r="H19" s="28">
        <f>VLOOKUP($B19,'Unify Report'!$A$2:$V$99,3,FALSE)</f>
        <v>1190</v>
      </c>
      <c r="I19" s="29">
        <f>VLOOKUP($B19,'Unify Report'!$A$2:$V$99,4,FALSE)</f>
        <v>1302.5</v>
      </c>
      <c r="J19" s="28">
        <f>VLOOKUP($B19,'Unify Report'!$A$2:$V$99,11,FALSE)</f>
        <v>913</v>
      </c>
      <c r="K19" s="29">
        <f>VLOOKUP($B19,'Unify Report'!$A$2:$V$99,12,FALSE)</f>
        <v>924</v>
      </c>
      <c r="L19" s="28">
        <f>VLOOKUP($B19,'Unify Report'!$A$2:$V$99,7,FALSE)</f>
        <v>1003.55</v>
      </c>
      <c r="M19" s="29">
        <f>VLOOKUP($B19,'Unify Report'!$A$2:$V$99,8,FALSE)</f>
        <v>988.3</v>
      </c>
      <c r="N19" s="28">
        <f>VLOOKUP($B19,'Unify Report'!$A$2:$V$99,15,FALSE)</f>
        <v>452.86666666666667</v>
      </c>
      <c r="O19" s="30">
        <f>VLOOKUP($B19,'Unify Report'!$A$2:$V$99,16,FALSE)</f>
        <v>308</v>
      </c>
    </row>
    <row r="20" spans="1:15">
      <c r="A20" s="21">
        <v>201901</v>
      </c>
      <c r="B20" s="21" t="s">
        <v>70</v>
      </c>
      <c r="C20" s="21" t="s">
        <v>28</v>
      </c>
      <c r="D20" s="21" t="s">
        <v>112</v>
      </c>
      <c r="E20" s="56" t="s">
        <v>160</v>
      </c>
      <c r="F20" s="56" t="s">
        <v>164</v>
      </c>
      <c r="G20" s="56" t="s">
        <v>171</v>
      </c>
      <c r="H20" s="28">
        <f>VLOOKUP($B20,'Unify Report'!$A$2:$V$99,3,FALSE)</f>
        <v>1246.25</v>
      </c>
      <c r="I20" s="29">
        <f>VLOOKUP($B20,'Unify Report'!$A$2:$V$99,4,FALSE)</f>
        <v>1303</v>
      </c>
      <c r="J20" s="28">
        <f>VLOOKUP($B20,'Unify Report'!$A$2:$V$99,11,FALSE)</f>
        <v>925.75</v>
      </c>
      <c r="K20" s="29">
        <f>VLOOKUP($B20,'Unify Report'!$A$2:$V$99,12,FALSE)</f>
        <v>924</v>
      </c>
      <c r="L20" s="28">
        <f>VLOOKUP($B20,'Unify Report'!$A$2:$V$99,7,FALSE)</f>
        <v>1314</v>
      </c>
      <c r="M20" s="29">
        <f>VLOOKUP($B20,'Unify Report'!$A$2:$V$99,8,FALSE)</f>
        <v>1098.5</v>
      </c>
      <c r="N20" s="28">
        <f>VLOOKUP($B20,'Unify Report'!$A$2:$V$99,15,FALSE)</f>
        <v>692.16666666666663</v>
      </c>
      <c r="O20" s="30">
        <f>VLOOKUP($B20,'Unify Report'!$A$2:$V$99,16,FALSE)</f>
        <v>308</v>
      </c>
    </row>
    <row r="21" spans="1:15">
      <c r="A21" s="21">
        <v>201901</v>
      </c>
      <c r="B21" s="21" t="s">
        <v>71</v>
      </c>
      <c r="C21" s="21" t="s">
        <v>26</v>
      </c>
      <c r="D21" s="21" t="s">
        <v>113</v>
      </c>
      <c r="E21" s="56" t="s">
        <v>160</v>
      </c>
      <c r="F21" s="56" t="s">
        <v>164</v>
      </c>
      <c r="G21" s="56" t="s">
        <v>171</v>
      </c>
      <c r="H21" s="28">
        <f>VLOOKUP($B21,'Unify Report'!$A$2:$V$99,3,FALSE)</f>
        <v>1227.5</v>
      </c>
      <c r="I21" s="29">
        <f>VLOOKUP($B21,'Unify Report'!$A$2:$V$99,4,FALSE)</f>
        <v>1276.25</v>
      </c>
      <c r="J21" s="28">
        <f>VLOOKUP($B21,'Unify Report'!$A$2:$V$99,11,FALSE)</f>
        <v>924</v>
      </c>
      <c r="K21" s="29">
        <f>VLOOKUP($B21,'Unify Report'!$A$2:$V$99,12,FALSE)</f>
        <v>924</v>
      </c>
      <c r="L21" s="28">
        <f>VLOOKUP($B21,'Unify Report'!$A$2:$V$99,7,FALSE)</f>
        <v>1036.5</v>
      </c>
      <c r="M21" s="29">
        <f>VLOOKUP($B21,'Unify Report'!$A$2:$V$99,8,FALSE)</f>
        <v>1024</v>
      </c>
      <c r="N21" s="28">
        <f>VLOOKUP($B21,'Unify Report'!$A$2:$V$99,15,FALSE)</f>
        <v>396</v>
      </c>
      <c r="O21" s="30">
        <f>VLOOKUP($B21,'Unify Report'!$A$2:$V$99,16,FALSE)</f>
        <v>308</v>
      </c>
    </row>
    <row r="22" spans="1:15">
      <c r="A22" s="21">
        <v>201901</v>
      </c>
      <c r="B22" s="21" t="s">
        <v>72</v>
      </c>
      <c r="C22" s="21" t="s">
        <v>31</v>
      </c>
      <c r="D22" s="21" t="s">
        <v>114</v>
      </c>
      <c r="E22" s="56" t="s">
        <v>160</v>
      </c>
      <c r="F22" s="56" t="s">
        <v>166</v>
      </c>
      <c r="G22" s="56" t="s">
        <v>172</v>
      </c>
      <c r="H22" s="28">
        <f>VLOOKUP($B22,'Unify Report'!$A$2:$V$99,3,FALSE)</f>
        <v>2397.75</v>
      </c>
      <c r="I22" s="29">
        <f>VLOOKUP($B22,'Unify Report'!$A$2:$V$99,4,FALSE)</f>
        <v>2367.7500000000032</v>
      </c>
      <c r="J22" s="28">
        <f>VLOOKUP($B22,'Unify Report'!$A$2:$V$99,11,FALSE)</f>
        <v>1738.5</v>
      </c>
      <c r="K22" s="29">
        <f>VLOOKUP($B22,'Unify Report'!$A$2:$V$99,12,FALSE)</f>
        <v>1848</v>
      </c>
      <c r="L22" s="28">
        <f>VLOOKUP($B22,'Unify Report'!$A$2:$V$99,7,FALSE)</f>
        <v>1024.5</v>
      </c>
      <c r="M22" s="29">
        <f>VLOOKUP($B22,'Unify Report'!$A$2:$V$99,8,FALSE)</f>
        <v>996.5</v>
      </c>
      <c r="N22" s="28">
        <f>VLOOKUP($B22,'Unify Report'!$A$2:$V$99,15,FALSE)</f>
        <v>762.75</v>
      </c>
      <c r="O22" s="30">
        <f>VLOOKUP($B22,'Unify Report'!$A$2:$V$99,16,FALSE)</f>
        <v>616</v>
      </c>
    </row>
    <row r="23" spans="1:15">
      <c r="A23" s="21">
        <v>201901</v>
      </c>
      <c r="B23" s="21" t="s">
        <v>73</v>
      </c>
      <c r="C23" s="21" t="s">
        <v>32</v>
      </c>
      <c r="D23" s="21" t="s">
        <v>115</v>
      </c>
      <c r="E23" s="56" t="s">
        <v>160</v>
      </c>
      <c r="F23" s="56" t="s">
        <v>166</v>
      </c>
      <c r="G23" s="56" t="s">
        <v>172</v>
      </c>
      <c r="H23" s="28">
        <f>VLOOKUP($B23,'Unify Report'!$A$2:$V$99,3,FALSE)</f>
        <v>2186.9166666666665</v>
      </c>
      <c r="I23" s="29">
        <f>VLOOKUP($B23,'Unify Report'!$A$2:$V$99,4,FALSE)</f>
        <v>2379.8333333333298</v>
      </c>
      <c r="J23" s="28">
        <f>VLOOKUP($B23,'Unify Report'!$A$2:$V$99,11,FALSE)</f>
        <v>1496</v>
      </c>
      <c r="K23" s="29">
        <f>VLOOKUP($B23,'Unify Report'!$A$2:$V$99,12,FALSE)</f>
        <v>1529</v>
      </c>
      <c r="L23" s="28">
        <f>VLOOKUP($B23,'Unify Report'!$A$2:$V$99,7,FALSE)</f>
        <v>624.08333333333337</v>
      </c>
      <c r="M23" s="29">
        <f>VLOOKUP($B23,'Unify Report'!$A$2:$V$99,8,FALSE)</f>
        <v>662.58333333333269</v>
      </c>
      <c r="N23" s="28">
        <f>VLOOKUP($B23,'Unify Report'!$A$2:$V$99,15,FALSE)</f>
        <v>605</v>
      </c>
      <c r="O23" s="30">
        <f>VLOOKUP($B23,'Unify Report'!$A$2:$V$99,16,FALSE)</f>
        <v>616</v>
      </c>
    </row>
    <row r="24" spans="1:15">
      <c r="A24" s="21">
        <v>201901</v>
      </c>
      <c r="B24" s="21" t="s">
        <v>74</v>
      </c>
      <c r="C24" s="21" t="s">
        <v>232</v>
      </c>
      <c r="D24" s="22" t="s">
        <v>116</v>
      </c>
      <c r="E24" s="57" t="s">
        <v>161</v>
      </c>
      <c r="F24" s="57" t="s">
        <v>167</v>
      </c>
      <c r="G24" s="57" t="s">
        <v>167</v>
      </c>
      <c r="H24" s="28">
        <f>VLOOKUP($B24,'Unify Report'!$A$2:$V$99,3,FALSE)</f>
        <v>1212</v>
      </c>
      <c r="I24" s="29">
        <f>VLOOKUP($B24,'Unify Report'!$A$2:$V$99,4,FALSE)</f>
        <v>1497</v>
      </c>
      <c r="J24" s="28">
        <f>VLOOKUP($B24,'Unify Report'!$A$2:$V$99,11,FALSE)</f>
        <v>616</v>
      </c>
      <c r="K24" s="29">
        <f>VLOOKUP($B24,'Unify Report'!$A$2:$V$99,12,FALSE)</f>
        <v>616</v>
      </c>
      <c r="L24" s="28">
        <f>VLOOKUP($B24,'Unify Report'!$A$2:$V$99,7,FALSE)</f>
        <v>946.5</v>
      </c>
      <c r="M24" s="29">
        <f>VLOOKUP($B24,'Unify Report'!$A$2:$V$99,8,FALSE)</f>
        <v>1085.25</v>
      </c>
      <c r="N24" s="28">
        <f>VLOOKUP($B24,'Unify Report'!$A$2:$V$99,15,FALSE)</f>
        <v>0</v>
      </c>
      <c r="O24" s="30">
        <f>VLOOKUP($B24,'Unify Report'!$A$2:$V$99,16,FALSE)</f>
        <v>0</v>
      </c>
    </row>
    <row r="25" spans="1:15">
      <c r="A25" s="21">
        <v>201901</v>
      </c>
      <c r="B25" s="21" t="s">
        <v>75</v>
      </c>
      <c r="C25" s="21" t="s">
        <v>40</v>
      </c>
      <c r="D25" s="21" t="s">
        <v>117</v>
      </c>
      <c r="E25" s="57" t="s">
        <v>161</v>
      </c>
      <c r="F25" s="56" t="s">
        <v>164</v>
      </c>
      <c r="G25" s="56" t="s">
        <v>173</v>
      </c>
      <c r="H25" s="28">
        <f>VLOOKUP($B25,'Unify Report'!$A$2:$V$99,3,FALSE)</f>
        <v>6262.5</v>
      </c>
      <c r="I25" s="29">
        <f>VLOOKUP($B25,'Unify Report'!$A$2:$V$99,4,FALSE)</f>
        <v>6397.75</v>
      </c>
      <c r="J25" s="28">
        <f>VLOOKUP($B25,'Unify Report'!$A$2:$V$99,11,FALSE)</f>
        <v>5779.75</v>
      </c>
      <c r="K25" s="29">
        <f>VLOOKUP($B25,'Unify Report'!$A$2:$V$99,12,FALSE)</f>
        <v>5852</v>
      </c>
      <c r="L25" s="28">
        <f>VLOOKUP($B25,'Unify Report'!$A$2:$V$99,7,FALSE)</f>
        <v>697.5</v>
      </c>
      <c r="M25" s="29">
        <f>VLOOKUP($B25,'Unify Report'!$A$2:$V$99,8,FALSE)</f>
        <v>678.5</v>
      </c>
      <c r="N25" s="28">
        <f>VLOOKUP($B25,'Unify Report'!$A$2:$V$99,15,FALSE)</f>
        <v>748</v>
      </c>
      <c r="O25" s="30">
        <f>VLOOKUP($B25,'Unify Report'!$A$2:$V$99,16,FALSE)</f>
        <v>616</v>
      </c>
    </row>
    <row r="26" spans="1:15">
      <c r="A26" s="21">
        <v>201901</v>
      </c>
      <c r="B26" s="21" t="s">
        <v>76</v>
      </c>
      <c r="C26" s="21" t="s">
        <v>44</v>
      </c>
      <c r="D26" s="21" t="s">
        <v>118</v>
      </c>
      <c r="E26" s="57" t="s">
        <v>161</v>
      </c>
      <c r="F26" s="56" t="s">
        <v>164</v>
      </c>
      <c r="G26" s="56" t="s">
        <v>174</v>
      </c>
      <c r="H26" s="28">
        <f>VLOOKUP($B26,'Unify Report'!$A$2:$V$99,3,FALSE)</f>
        <v>975</v>
      </c>
      <c r="I26" s="29">
        <f>VLOOKUP($B26,'Unify Report'!$A$2:$V$99,4,FALSE)</f>
        <v>959.25</v>
      </c>
      <c r="J26" s="28">
        <f>VLOOKUP($B26,'Unify Report'!$A$2:$V$99,11,FALSE)</f>
        <v>644</v>
      </c>
      <c r="K26" s="29">
        <f>VLOOKUP($B26,'Unify Report'!$A$2:$V$99,12,FALSE)</f>
        <v>644</v>
      </c>
      <c r="L26" s="28">
        <f>VLOOKUP($B26,'Unify Report'!$A$2:$V$99,7,FALSE)</f>
        <v>932</v>
      </c>
      <c r="M26" s="29">
        <f>VLOOKUP($B26,'Unify Report'!$A$2:$V$99,8,FALSE)</f>
        <v>1087.25</v>
      </c>
      <c r="N26" s="28">
        <f>VLOOKUP($B26,'Unify Report'!$A$2:$V$99,15,FALSE)</f>
        <v>805</v>
      </c>
      <c r="O26" s="30">
        <f>VLOOKUP($B26,'Unify Report'!$A$2:$V$99,16,FALSE)</f>
        <v>954.5</v>
      </c>
    </row>
    <row r="27" spans="1:15">
      <c r="A27" s="21">
        <v>201901</v>
      </c>
      <c r="B27" s="21" t="s">
        <v>77</v>
      </c>
      <c r="C27" s="21" t="s">
        <v>42</v>
      </c>
      <c r="D27" s="21" t="s">
        <v>119</v>
      </c>
      <c r="E27" s="57" t="s">
        <v>161</v>
      </c>
      <c r="F27" s="56" t="s">
        <v>164</v>
      </c>
      <c r="G27" s="56" t="s">
        <v>174</v>
      </c>
      <c r="H27" s="28">
        <f>VLOOKUP($B27,'Unify Report'!$A$2:$V$99,3,FALSE)</f>
        <v>1240</v>
      </c>
      <c r="I27" s="29">
        <f>VLOOKUP($B27,'Unify Report'!$A$2:$V$99,4,FALSE)</f>
        <v>1256.25</v>
      </c>
      <c r="J27" s="28">
        <f>VLOOKUP($B27,'Unify Report'!$A$2:$V$99,11,FALSE)</f>
        <v>954.5</v>
      </c>
      <c r="K27" s="29">
        <f>VLOOKUP($B27,'Unify Report'!$A$2:$V$99,12,FALSE)</f>
        <v>966</v>
      </c>
      <c r="L27" s="28">
        <f>VLOOKUP($B27,'Unify Report'!$A$2:$V$99,7,FALSE)</f>
        <v>1568</v>
      </c>
      <c r="M27" s="29">
        <f>VLOOKUP($B27,'Unify Report'!$A$2:$V$99,8,FALSE)</f>
        <v>938.5</v>
      </c>
      <c r="N27" s="28">
        <f>VLOOKUP($B27,'Unify Report'!$A$2:$V$99,15,FALSE)</f>
        <v>1448</v>
      </c>
      <c r="O27" s="30">
        <f>VLOOKUP($B27,'Unify Report'!$A$2:$V$99,16,FALSE)</f>
        <v>644</v>
      </c>
    </row>
    <row r="28" spans="1:15">
      <c r="A28" s="21">
        <v>201901</v>
      </c>
      <c r="B28" s="21" t="s">
        <v>78</v>
      </c>
      <c r="C28" s="21" t="s">
        <v>43</v>
      </c>
      <c r="D28" s="21" t="s">
        <v>120</v>
      </c>
      <c r="E28" s="57" t="s">
        <v>161</v>
      </c>
      <c r="F28" s="56" t="s">
        <v>164</v>
      </c>
      <c r="G28" s="56" t="s">
        <v>175</v>
      </c>
      <c r="H28" s="28">
        <f>VLOOKUP($B28,'Unify Report'!$A$2:$V$99,3,FALSE)</f>
        <v>1754</v>
      </c>
      <c r="I28" s="29">
        <f>VLOOKUP($B28,'Unify Report'!$A$2:$V$99,4,FALSE)</f>
        <v>1848</v>
      </c>
      <c r="J28" s="28">
        <f>VLOOKUP($B28,'Unify Report'!$A$2:$V$99,11,FALSE)</f>
        <v>1265.5</v>
      </c>
      <c r="K28" s="29">
        <f>VLOOKUP($B28,'Unify Report'!$A$2:$V$99,12,FALSE)</f>
        <v>1283.0166666666701</v>
      </c>
      <c r="L28" s="28">
        <f>VLOOKUP($B28,'Unify Report'!$A$2:$V$99,7,FALSE)</f>
        <v>993.8</v>
      </c>
      <c r="M28" s="29">
        <f>VLOOKUP($B28,'Unify Report'!$A$2:$V$99,8,FALSE)</f>
        <v>962</v>
      </c>
      <c r="N28" s="28">
        <f>VLOOKUP($B28,'Unify Report'!$A$2:$V$99,15,FALSE)</f>
        <v>678.5</v>
      </c>
      <c r="O28" s="30">
        <f>VLOOKUP($B28,'Unify Report'!$A$2:$V$99,16,FALSE)</f>
        <v>644</v>
      </c>
    </row>
    <row r="29" spans="1:15">
      <c r="A29" s="21">
        <v>201901</v>
      </c>
      <c r="B29" s="21" t="s">
        <v>79</v>
      </c>
      <c r="C29" s="21" t="s">
        <v>39</v>
      </c>
      <c r="D29" s="21" t="s">
        <v>121</v>
      </c>
      <c r="E29" s="57" t="s">
        <v>161</v>
      </c>
      <c r="F29" s="56" t="s">
        <v>164</v>
      </c>
      <c r="G29" s="56" t="s">
        <v>176</v>
      </c>
      <c r="H29" s="28">
        <f>VLOOKUP($B29,'Unify Report'!$A$2:$V$99,3,FALSE)</f>
        <v>1883.5</v>
      </c>
      <c r="I29" s="29">
        <f>VLOOKUP($B29,'Unify Report'!$A$2:$V$99,4,FALSE)</f>
        <v>2071.25</v>
      </c>
      <c r="J29" s="28">
        <f>VLOOKUP($B29,'Unify Report'!$A$2:$V$99,11,FALSE)</f>
        <v>1575</v>
      </c>
      <c r="K29" s="29">
        <f>VLOOKUP($B29,'Unify Report'!$A$2:$V$99,12,FALSE)</f>
        <v>1610</v>
      </c>
      <c r="L29" s="28">
        <f>VLOOKUP($B29,'Unify Report'!$A$2:$V$99,7,FALSE)</f>
        <v>1185.25</v>
      </c>
      <c r="M29" s="29">
        <f>VLOOKUP($B29,'Unify Report'!$A$2:$V$99,8,FALSE)</f>
        <v>1150</v>
      </c>
      <c r="N29" s="28">
        <f>VLOOKUP($B29,'Unify Report'!$A$2:$V$99,15,FALSE)</f>
        <v>1257</v>
      </c>
      <c r="O29" s="30">
        <f>VLOOKUP($B29,'Unify Report'!$A$2:$V$99,16,FALSE)</f>
        <v>1288</v>
      </c>
    </row>
    <row r="30" spans="1:15">
      <c r="A30" s="21">
        <v>201901</v>
      </c>
      <c r="B30" s="21" t="s">
        <v>80</v>
      </c>
      <c r="C30" s="21" t="s">
        <v>41</v>
      </c>
      <c r="D30" s="21" t="s">
        <v>122</v>
      </c>
      <c r="E30" s="57" t="s">
        <v>161</v>
      </c>
      <c r="F30" s="56" t="s">
        <v>164</v>
      </c>
      <c r="G30" s="56" t="s">
        <v>175</v>
      </c>
      <c r="H30" s="28">
        <f>VLOOKUP($B30,'Unify Report'!$A$2:$V$99,3,FALSE)</f>
        <v>1911.75</v>
      </c>
      <c r="I30" s="29">
        <f>VLOOKUP($B30,'Unify Report'!$A$2:$V$99,4,FALSE)</f>
        <v>1936.5</v>
      </c>
      <c r="J30" s="28">
        <f>VLOOKUP($B30,'Unify Report'!$A$2:$V$99,11,FALSE)</f>
        <v>1598.5</v>
      </c>
      <c r="K30" s="29">
        <f>VLOOKUP($B30,'Unify Report'!$A$2:$V$99,12,FALSE)</f>
        <v>1610</v>
      </c>
      <c r="L30" s="28">
        <f>VLOOKUP($B30,'Unify Report'!$A$2:$V$99,7,FALSE)</f>
        <v>1443.4166666666667</v>
      </c>
      <c r="M30" s="29">
        <f>VLOOKUP($B30,'Unify Report'!$A$2:$V$99,8,FALSE)</f>
        <v>1279.5</v>
      </c>
      <c r="N30" s="28">
        <f>VLOOKUP($B30,'Unify Report'!$A$2:$V$99,15,FALSE)</f>
        <v>1539</v>
      </c>
      <c r="O30" s="30">
        <f>VLOOKUP($B30,'Unify Report'!$A$2:$V$99,16,FALSE)</f>
        <v>1288</v>
      </c>
    </row>
    <row r="31" spans="1:15">
      <c r="A31" s="21">
        <v>201901</v>
      </c>
      <c r="B31" s="21" t="s">
        <v>81</v>
      </c>
      <c r="C31" s="98" t="s">
        <v>235</v>
      </c>
      <c r="D31" s="21" t="s">
        <v>123</v>
      </c>
      <c r="E31" s="56" t="s">
        <v>162</v>
      </c>
      <c r="F31" s="56" t="s">
        <v>168</v>
      </c>
      <c r="G31" s="56" t="s">
        <v>177</v>
      </c>
      <c r="H31" s="28">
        <f>VLOOKUP($B31,'Unify Report'!$A$2:$V$99,3,FALSE)</f>
        <v>4934.5</v>
      </c>
      <c r="I31" s="29">
        <f>VLOOKUP($B31,'Unify Report'!$A$2:$V$99,4,FALSE)</f>
        <v>5507</v>
      </c>
      <c r="J31" s="28">
        <f>VLOOKUP($B31,'Unify Report'!$A$2:$V$99,11,FALSE)</f>
        <v>4884.5</v>
      </c>
      <c r="K31" s="29">
        <f>VLOOKUP($B31,'Unify Report'!$A$2:$V$99,12,FALSE)</f>
        <v>5474</v>
      </c>
      <c r="L31" s="28">
        <f>VLOOKUP($B31,'Unify Report'!$A$2:$V$99,7,FALSE)</f>
        <v>265.5</v>
      </c>
      <c r="M31" s="29">
        <f>VLOOKUP($B31,'Unify Report'!$A$2:$V$99,8,FALSE)</f>
        <v>660</v>
      </c>
      <c r="N31" s="28">
        <f>VLOOKUP($B31,'Unify Report'!$A$2:$V$99,15,FALSE)</f>
        <v>172.5</v>
      </c>
      <c r="O31" s="30">
        <f>VLOOKUP($B31,'Unify Report'!$A$2:$V$99,16,FALSE)</f>
        <v>644</v>
      </c>
    </row>
    <row r="32" spans="1:15">
      <c r="A32" s="21">
        <v>201901</v>
      </c>
      <c r="B32" s="21" t="s">
        <v>82</v>
      </c>
      <c r="C32" s="98" t="s">
        <v>236</v>
      </c>
      <c r="D32" s="70" t="s">
        <v>246</v>
      </c>
      <c r="E32" s="56" t="s">
        <v>162</v>
      </c>
      <c r="F32" s="56" t="s">
        <v>168</v>
      </c>
      <c r="G32" s="56" t="s">
        <v>177</v>
      </c>
      <c r="H32" s="28">
        <f>VLOOKUP($B32,'Unify Report'!$A$2:$V$99,3,FALSE)</f>
        <v>3697</v>
      </c>
      <c r="I32" s="29">
        <f>VLOOKUP($B32,'Unify Report'!$A$2:$V$99,4,FALSE)</f>
        <v>3871</v>
      </c>
      <c r="J32" s="28">
        <f>VLOOKUP($B32,'Unify Report'!$A$2:$V$99,11,FALSE)</f>
        <v>3683.0166666666669</v>
      </c>
      <c r="K32" s="29">
        <f>VLOOKUP($B32,'Unify Report'!$A$2:$V$99,12,FALSE)</f>
        <v>4074</v>
      </c>
      <c r="L32" s="28">
        <f>VLOOKUP($B32,'Unify Report'!$A$2:$V$99,7,FALSE)</f>
        <v>395.66666666666669</v>
      </c>
      <c r="M32" s="29">
        <f>VLOOKUP($B32,'Unify Report'!$A$2:$V$99,8,FALSE)</f>
        <v>308.66666666666669</v>
      </c>
      <c r="N32" s="28">
        <f>VLOOKUP($B32,'Unify Report'!$A$2:$V$99,15,FALSE)</f>
        <v>478.01666666666665</v>
      </c>
      <c r="O32" s="30">
        <f>VLOOKUP($B32,'Unify Report'!$A$2:$V$99,16,FALSE)</f>
        <v>322</v>
      </c>
    </row>
    <row r="33" spans="1:15">
      <c r="A33" s="21">
        <v>201901</v>
      </c>
      <c r="B33" s="21" t="s">
        <v>83</v>
      </c>
      <c r="C33" s="98" t="s">
        <v>237</v>
      </c>
      <c r="D33" s="70" t="s">
        <v>253</v>
      </c>
      <c r="E33" s="56" t="s">
        <v>162</v>
      </c>
      <c r="F33" s="56" t="s">
        <v>168</v>
      </c>
      <c r="G33" s="56" t="s">
        <v>177</v>
      </c>
      <c r="H33" s="28">
        <f>VLOOKUP($B33,'Unify Report'!$A$2:$V$99,3,FALSE)</f>
        <v>1984</v>
      </c>
      <c r="I33" s="29">
        <f>VLOOKUP($B33,'Unify Report'!$A$2:$V$99,4,FALSE)</f>
        <v>2129</v>
      </c>
      <c r="J33" s="28">
        <f>VLOOKUP($B33,'Unify Report'!$A$2:$V$99,11,FALSE)</f>
        <v>1508.75</v>
      </c>
      <c r="K33" s="29">
        <f>VLOOKUP($B33,'Unify Report'!$A$2:$V$99,12,FALSE)</f>
        <v>1511</v>
      </c>
      <c r="L33" s="28">
        <f>VLOOKUP($B33,'Unify Report'!$A$2:$V$99,7,FALSE)</f>
        <v>348</v>
      </c>
      <c r="M33" s="29">
        <f>VLOOKUP($B33,'Unify Report'!$A$2:$V$99,8,FALSE)</f>
        <v>322.5</v>
      </c>
      <c r="N33" s="28">
        <f>VLOOKUP($B33,'Unify Report'!$A$2:$V$99,15,FALSE)</f>
        <v>322</v>
      </c>
      <c r="O33" s="30">
        <f>VLOOKUP($B33,'Unify Report'!$A$2:$V$99,16,FALSE)</f>
        <v>322</v>
      </c>
    </row>
    <row r="34" spans="1:15">
      <c r="A34" s="21">
        <v>201901</v>
      </c>
      <c r="B34" s="21" t="s">
        <v>84</v>
      </c>
      <c r="C34" s="98" t="s">
        <v>238</v>
      </c>
      <c r="D34" s="70" t="s">
        <v>252</v>
      </c>
      <c r="E34" s="56" t="s">
        <v>162</v>
      </c>
      <c r="F34" s="56" t="s">
        <v>168</v>
      </c>
      <c r="G34" s="56" t="s">
        <v>177</v>
      </c>
      <c r="H34" s="28">
        <f>VLOOKUP($B34,'Unify Report'!$A$2:$V$99,3,FALSE)</f>
        <v>1669.25</v>
      </c>
      <c r="I34" s="29">
        <f>VLOOKUP($B34,'Unify Report'!$A$2:$V$99,4,FALSE)</f>
        <v>1929.75</v>
      </c>
      <c r="J34" s="28">
        <f>VLOOKUP($B34,'Unify Report'!$A$2:$V$99,11,FALSE)</f>
        <v>1466</v>
      </c>
      <c r="K34" s="29">
        <f>VLOOKUP($B34,'Unify Report'!$A$2:$V$99,12,FALSE)</f>
        <v>1610</v>
      </c>
      <c r="L34" s="28">
        <f>VLOOKUP($B34,'Unify Report'!$A$2:$V$99,7,FALSE)</f>
        <v>346.75</v>
      </c>
      <c r="M34" s="29">
        <f>VLOOKUP($B34,'Unify Report'!$A$2:$V$99,8,FALSE)</f>
        <v>322.5</v>
      </c>
      <c r="N34" s="28">
        <f>VLOOKUP($B34,'Unify Report'!$A$2:$V$99,15,FALSE)</f>
        <v>253</v>
      </c>
      <c r="O34" s="30">
        <f>VLOOKUP($B34,'Unify Report'!$A$2:$V$99,16,FALSE)</f>
        <v>322</v>
      </c>
    </row>
    <row r="35" spans="1:15">
      <c r="A35" s="21">
        <v>201901</v>
      </c>
      <c r="B35" s="21" t="s">
        <v>85</v>
      </c>
      <c r="C35" s="98" t="s">
        <v>239</v>
      </c>
      <c r="D35" s="70" t="s">
        <v>251</v>
      </c>
      <c r="E35" s="56" t="s">
        <v>162</v>
      </c>
      <c r="F35" s="56" t="s">
        <v>168</v>
      </c>
      <c r="G35" s="56" t="s">
        <v>177</v>
      </c>
      <c r="H35" s="28">
        <f>VLOOKUP($B35,'Unify Report'!$A$2:$V$99,3,FALSE)</f>
        <v>1550</v>
      </c>
      <c r="I35" s="29">
        <f>VLOOKUP($B35,'Unify Report'!$A$2:$V$99,4,FALSE)</f>
        <v>1596</v>
      </c>
      <c r="J35" s="28">
        <f>VLOOKUP($B35,'Unify Report'!$A$2:$V$99,11,FALSE)</f>
        <v>1529.5</v>
      </c>
      <c r="K35" s="29">
        <f>VLOOKUP($B35,'Unify Report'!$A$2:$V$99,12,FALSE)</f>
        <v>1610</v>
      </c>
      <c r="L35" s="28">
        <f>VLOOKUP($B35,'Unify Report'!$A$2:$V$99,7,FALSE)</f>
        <v>276</v>
      </c>
      <c r="M35" s="29">
        <f>VLOOKUP($B35,'Unify Report'!$A$2:$V$99,8,FALSE)</f>
        <v>322</v>
      </c>
      <c r="N35" s="28">
        <f>VLOOKUP($B35,'Unify Report'!$A$2:$V$99,15,FALSE)</f>
        <v>310.5</v>
      </c>
      <c r="O35" s="30">
        <f>VLOOKUP($B35,'Unify Report'!$A$2:$V$99,16,FALSE)</f>
        <v>322</v>
      </c>
    </row>
    <row r="36" spans="1:15">
      <c r="A36" s="21">
        <v>201901</v>
      </c>
      <c r="B36" s="21" t="s">
        <v>86</v>
      </c>
      <c r="C36" s="98" t="s">
        <v>240</v>
      </c>
      <c r="D36" s="70" t="s">
        <v>254</v>
      </c>
      <c r="E36" s="56" t="s">
        <v>162</v>
      </c>
      <c r="F36" s="56" t="s">
        <v>168</v>
      </c>
      <c r="G36" s="56" t="s">
        <v>177</v>
      </c>
      <c r="H36" s="28">
        <f>VLOOKUP($B36,'Unify Report'!$A$2:$V$99,3,FALSE)</f>
        <v>2163.25</v>
      </c>
      <c r="I36" s="29">
        <f>VLOOKUP($B36,'Unify Report'!$A$2:$V$99,4,FALSE)</f>
        <v>2249.5</v>
      </c>
      <c r="J36" s="28">
        <f>VLOOKUP($B36,'Unify Report'!$A$2:$V$99,11,FALSE)</f>
        <v>1851.5</v>
      </c>
      <c r="K36" s="29">
        <f>VLOOKUP($B36,'Unify Report'!$A$2:$V$99,12,FALSE)</f>
        <v>1932</v>
      </c>
      <c r="L36" s="28">
        <f>VLOOKUP($B36,'Unify Report'!$A$2:$V$99,7,FALSE)</f>
        <v>300</v>
      </c>
      <c r="M36" s="29">
        <f>VLOOKUP($B36,'Unify Report'!$A$2:$V$99,8,FALSE)</f>
        <v>324</v>
      </c>
      <c r="N36" s="28">
        <f>VLOOKUP($B36,'Unify Report'!$A$2:$V$99,15,FALSE)</f>
        <v>276</v>
      </c>
      <c r="O36" s="30">
        <f>VLOOKUP($B36,'Unify Report'!$A$2:$V$99,16,FALSE)</f>
        <v>322</v>
      </c>
    </row>
    <row r="37" spans="1:15">
      <c r="A37" s="21">
        <v>201901</v>
      </c>
      <c r="B37" s="21" t="s">
        <v>87</v>
      </c>
      <c r="C37" s="98" t="s">
        <v>241</v>
      </c>
      <c r="D37" s="70" t="s">
        <v>247</v>
      </c>
      <c r="E37" s="56" t="s">
        <v>162</v>
      </c>
      <c r="F37" s="56" t="s">
        <v>168</v>
      </c>
      <c r="G37" s="56" t="s">
        <v>177</v>
      </c>
      <c r="H37" s="28">
        <f>VLOOKUP($B37,'Unify Report'!$A$2:$V$99,3,FALSE)</f>
        <v>1401.0333333333333</v>
      </c>
      <c r="I37" s="29">
        <f>VLOOKUP($B37,'Unify Report'!$A$2:$V$99,4,FALSE)</f>
        <v>1289.5</v>
      </c>
      <c r="J37" s="28">
        <f>VLOOKUP($B37,'Unify Report'!$A$2:$V$99,11,FALSE)</f>
        <v>1421.7666666666667</v>
      </c>
      <c r="K37" s="29">
        <f>VLOOKUP($B37,'Unify Report'!$A$2:$V$99,12,FALSE)</f>
        <v>1288</v>
      </c>
      <c r="L37" s="28">
        <f>VLOOKUP($B37,'Unify Report'!$A$2:$V$99,7,FALSE)</f>
        <v>593.5</v>
      </c>
      <c r="M37" s="29">
        <f>VLOOKUP($B37,'Unify Report'!$A$2:$V$99,8,FALSE)</f>
        <v>301.5</v>
      </c>
      <c r="N37" s="28">
        <f>VLOOKUP($B37,'Unify Report'!$A$2:$V$99,15,FALSE)</f>
        <v>516.5</v>
      </c>
      <c r="O37" s="30">
        <f>VLOOKUP($B37,'Unify Report'!$A$2:$V$99,16,FALSE)</f>
        <v>322</v>
      </c>
    </row>
    <row r="38" spans="1:15">
      <c r="A38" s="21">
        <v>201901</v>
      </c>
      <c r="B38" s="21" t="s">
        <v>88</v>
      </c>
      <c r="C38" s="98" t="s">
        <v>242</v>
      </c>
      <c r="D38" s="70" t="s">
        <v>255</v>
      </c>
      <c r="E38" s="56" t="s">
        <v>162</v>
      </c>
      <c r="F38" s="56" t="s">
        <v>168</v>
      </c>
      <c r="G38" s="56" t="s">
        <v>177</v>
      </c>
      <c r="H38" s="28">
        <f>VLOOKUP($B38,'Unify Report'!$A$2:$V$99,3,FALSE)</f>
        <v>971.83333333333337</v>
      </c>
      <c r="I38" s="29">
        <f>VLOOKUP($B38,'Unify Report'!$A$2:$V$99,4,FALSE)</f>
        <v>949.5</v>
      </c>
      <c r="J38" s="28">
        <f>VLOOKUP($B38,'Unify Report'!$A$2:$V$99,11,FALSE)</f>
        <v>994.75</v>
      </c>
      <c r="K38" s="29">
        <f>VLOOKUP($B38,'Unify Report'!$A$2:$V$99,12,FALSE)</f>
        <v>966</v>
      </c>
      <c r="L38" s="28">
        <f>VLOOKUP($B38,'Unify Report'!$A$2:$V$99,7,FALSE)</f>
        <v>87.75</v>
      </c>
      <c r="M38" s="29">
        <f>VLOOKUP($B38,'Unify Report'!$A$2:$V$99,8,FALSE)</f>
        <v>0</v>
      </c>
      <c r="N38" s="28">
        <f>VLOOKUP($B38,'Unify Report'!$A$2:$V$99,15,FALSE)</f>
        <v>90</v>
      </c>
      <c r="O38" s="30">
        <f>VLOOKUP($B38,'Unify Report'!$A$2:$V$99,16,FALSE)</f>
        <v>0</v>
      </c>
    </row>
    <row r="39" spans="1:15">
      <c r="A39" s="21">
        <v>201901</v>
      </c>
      <c r="B39" s="21" t="s">
        <v>89</v>
      </c>
      <c r="C39" s="98" t="s">
        <v>243</v>
      </c>
      <c r="D39" s="70" t="s">
        <v>249</v>
      </c>
      <c r="E39" s="56" t="s">
        <v>162</v>
      </c>
      <c r="F39" s="56" t="s">
        <v>168</v>
      </c>
      <c r="G39" s="56" t="s">
        <v>177</v>
      </c>
      <c r="H39" s="28">
        <f>VLOOKUP($B39,'Unify Report'!$A$2:$V$99,3,FALSE)</f>
        <v>1831.4166666666667</v>
      </c>
      <c r="I39" s="29">
        <f>VLOOKUP($B39,'Unify Report'!$A$2:$V$99,4,FALSE)</f>
        <v>1920.5</v>
      </c>
      <c r="J39" s="28">
        <f>VLOOKUP($B39,'Unify Report'!$A$2:$V$99,11,FALSE)</f>
        <v>1864.5</v>
      </c>
      <c r="K39" s="29">
        <f>VLOOKUP($B39,'Unify Report'!$A$2:$V$99,12,FALSE)</f>
        <v>1932</v>
      </c>
      <c r="L39" s="28">
        <f>VLOOKUP($B39,'Unify Report'!$A$2:$V$99,7,FALSE)</f>
        <v>679</v>
      </c>
      <c r="M39" s="29">
        <f>VLOOKUP($B39,'Unify Report'!$A$2:$V$99,8,FALSE)</f>
        <v>644</v>
      </c>
      <c r="N39" s="28">
        <f>VLOOKUP($B39,'Unify Report'!$A$2:$V$99,15,FALSE)</f>
        <v>621.25</v>
      </c>
      <c r="O39" s="30">
        <f>VLOOKUP($B39,'Unify Report'!$A$2:$V$99,16,FALSE)</f>
        <v>644</v>
      </c>
    </row>
    <row r="40" spans="1:15">
      <c r="A40" s="21">
        <v>201901</v>
      </c>
      <c r="B40" s="21" t="s">
        <v>90</v>
      </c>
      <c r="C40" s="98" t="s">
        <v>36</v>
      </c>
      <c r="D40" s="21" t="s">
        <v>124</v>
      </c>
      <c r="E40" s="56" t="s">
        <v>162</v>
      </c>
      <c r="F40" s="56" t="s">
        <v>169</v>
      </c>
      <c r="G40" s="56" t="s">
        <v>178</v>
      </c>
      <c r="H40" s="28">
        <f>VLOOKUP($B40,'Unify Report'!$A$2:$V$99,3,FALSE)</f>
        <v>636</v>
      </c>
      <c r="I40" s="29">
        <f>VLOOKUP($B40,'Unify Report'!$A$2:$V$99,4,FALSE)</f>
        <v>681</v>
      </c>
      <c r="J40" s="28">
        <f>VLOOKUP($B40,'Unify Report'!$A$2:$V$99,11,FALSE)</f>
        <v>636</v>
      </c>
      <c r="K40" s="29">
        <f>VLOOKUP($B40,'Unify Report'!$A$2:$V$99,12,FALSE)</f>
        <v>672</v>
      </c>
      <c r="L40" s="28">
        <f>VLOOKUP($B40,'Unify Report'!$A$2:$V$99,7,FALSE)</f>
        <v>0</v>
      </c>
      <c r="M40" s="29">
        <f>VLOOKUP($B40,'Unify Report'!$A$2:$V$99,8,FALSE)</f>
        <v>0</v>
      </c>
      <c r="N40" s="28">
        <f>VLOOKUP($B40,'Unify Report'!$A$2:$V$99,15,FALSE)</f>
        <v>0</v>
      </c>
      <c r="O40" s="30">
        <f>VLOOKUP($B40,'Unify Report'!$A$2:$V$99,16,FALSE)</f>
        <v>0</v>
      </c>
    </row>
    <row r="41" spans="1:15">
      <c r="A41" s="21">
        <v>201901</v>
      </c>
      <c r="B41" s="21" t="s">
        <v>91</v>
      </c>
      <c r="C41" s="21" t="s">
        <v>35</v>
      </c>
      <c r="D41" s="22" t="s">
        <v>125</v>
      </c>
      <c r="E41" s="56" t="s">
        <v>162</v>
      </c>
      <c r="F41" s="56" t="s">
        <v>169</v>
      </c>
      <c r="G41" s="56" t="s">
        <v>178</v>
      </c>
      <c r="H41" s="28">
        <f>VLOOKUP($B41,'Unify Report'!$A$2:$V$99,3,FALSE)</f>
        <v>1987.5</v>
      </c>
      <c r="I41" s="29">
        <f>VLOOKUP($B41,'Unify Report'!$A$2:$V$99,4,FALSE)</f>
        <v>2455</v>
      </c>
      <c r="J41" s="28">
        <f>VLOOKUP($B41,'Unify Report'!$A$2:$V$99,11,FALSE)</f>
        <v>2028</v>
      </c>
      <c r="K41" s="29">
        <f>VLOOKUP($B41,'Unify Report'!$A$2:$V$99,12,FALSE)</f>
        <v>2352</v>
      </c>
      <c r="L41" s="28">
        <f>VLOOKUP($B41,'Unify Report'!$A$2:$V$99,7,FALSE)</f>
        <v>840.5</v>
      </c>
      <c r="M41" s="29">
        <f>VLOOKUP($B41,'Unify Report'!$A$2:$V$99,8,FALSE)</f>
        <v>1066.5</v>
      </c>
      <c r="N41" s="28">
        <f>VLOOKUP($B41,'Unify Report'!$A$2:$V$99,15,FALSE)</f>
        <v>564</v>
      </c>
      <c r="O41" s="30">
        <f>VLOOKUP($B41,'Unify Report'!$A$2:$V$99,16,FALSE)</f>
        <v>672</v>
      </c>
    </row>
    <row r="42" spans="1:15">
      <c r="A42" s="21">
        <v>201901</v>
      </c>
      <c r="B42" s="21" t="s">
        <v>92</v>
      </c>
      <c r="C42" s="21" t="s">
        <v>38</v>
      </c>
      <c r="D42" s="22" t="s">
        <v>126</v>
      </c>
      <c r="E42" s="56" t="s">
        <v>162</v>
      </c>
      <c r="F42" s="56" t="s">
        <v>169</v>
      </c>
      <c r="G42" s="56" t="s">
        <v>178</v>
      </c>
      <c r="H42" s="28">
        <f>VLOOKUP($B42,'Unify Report'!$A$2:$V$99,3,FALSE)</f>
        <v>4670.25</v>
      </c>
      <c r="I42" s="29">
        <f>VLOOKUP($B42,'Unify Report'!$A$2:$V$99,4,FALSE)</f>
        <v>5165.5</v>
      </c>
      <c r="J42" s="28">
        <f>VLOOKUP($B42,'Unify Report'!$A$2:$V$99,11,FALSE)</f>
        <v>4956.25</v>
      </c>
      <c r="K42" s="29">
        <f>VLOOKUP($B42,'Unify Report'!$A$2:$V$99,12,FALSE)</f>
        <v>5175</v>
      </c>
      <c r="L42" s="28">
        <f>VLOOKUP($B42,'Unify Report'!$A$2:$V$99,7,FALSE)</f>
        <v>582</v>
      </c>
      <c r="M42" s="29">
        <f>VLOOKUP($B42,'Unify Report'!$A$2:$V$99,8,FALSE)</f>
        <v>985.5</v>
      </c>
      <c r="N42" s="28">
        <f>VLOOKUP($B42,'Unify Report'!$A$2:$V$99,15,FALSE)</f>
        <v>506</v>
      </c>
      <c r="O42" s="30">
        <f>VLOOKUP($B42,'Unify Report'!$A$2:$V$99,16,FALSE)</f>
        <v>966</v>
      </c>
    </row>
    <row r="43" spans="1:15">
      <c r="A43" s="21">
        <v>201901</v>
      </c>
      <c r="B43" s="21" t="s">
        <v>93</v>
      </c>
      <c r="C43" s="21" t="s">
        <v>33</v>
      </c>
      <c r="D43" s="22" t="s">
        <v>127</v>
      </c>
      <c r="E43" s="56" t="s">
        <v>162</v>
      </c>
      <c r="F43" s="56" t="s">
        <v>169</v>
      </c>
      <c r="G43" s="56" t="s">
        <v>178</v>
      </c>
      <c r="H43" s="28">
        <f>VLOOKUP($B43,'Unify Report'!$A$2:$V$99,3,FALSE)</f>
        <v>1080.75</v>
      </c>
      <c r="I43" s="29">
        <f>VLOOKUP($B43,'Unify Report'!$A$2:$V$99,4,FALSE)</f>
        <v>967.5</v>
      </c>
      <c r="J43" s="28">
        <f>VLOOKUP($B43,'Unify Report'!$A$2:$V$99,11,FALSE)</f>
        <v>600.5</v>
      </c>
      <c r="K43" s="29">
        <f>VLOOKUP($B43,'Unify Report'!$A$2:$V$99,12,FALSE)</f>
        <v>658</v>
      </c>
      <c r="L43" s="28">
        <f>VLOOKUP($B43,'Unify Report'!$A$2:$V$99,7,FALSE)</f>
        <v>442.5</v>
      </c>
      <c r="M43" s="29">
        <f>VLOOKUP($B43,'Unify Report'!$A$2:$V$99,8,FALSE)</f>
        <v>607.5</v>
      </c>
      <c r="N43" s="28">
        <f>VLOOKUP($B43,'Unify Report'!$A$2:$V$99,15,FALSE)</f>
        <v>345.5</v>
      </c>
      <c r="O43" s="30">
        <f>VLOOKUP($B43,'Unify Report'!$A$2:$V$99,16,FALSE)</f>
        <v>576</v>
      </c>
    </row>
    <row r="44" spans="1:15">
      <c r="A44" s="21">
        <v>201901</v>
      </c>
      <c r="B44" s="21" t="s">
        <v>94</v>
      </c>
      <c r="C44" s="21" t="s">
        <v>34</v>
      </c>
      <c r="D44" s="22" t="s">
        <v>128</v>
      </c>
      <c r="E44" s="56" t="s">
        <v>162</v>
      </c>
      <c r="F44" s="56" t="s">
        <v>169</v>
      </c>
      <c r="G44" s="56" t="s">
        <v>178</v>
      </c>
      <c r="H44" s="28">
        <f>VLOOKUP($B44,'Unify Report'!$A$2:$V$99,3,FALSE)</f>
        <v>3254.5</v>
      </c>
      <c r="I44" s="29">
        <f>VLOOKUP($B44,'Unify Report'!$A$2:$V$99,4,FALSE)</f>
        <v>3346</v>
      </c>
      <c r="J44" s="28">
        <f>VLOOKUP($B44,'Unify Report'!$A$2:$V$99,11,FALSE)</f>
        <v>2941.5</v>
      </c>
      <c r="K44" s="29">
        <f>VLOOKUP($B44,'Unify Report'!$A$2:$V$99,12,FALSE)</f>
        <v>3024</v>
      </c>
      <c r="L44" s="28">
        <f>VLOOKUP($B44,'Unify Report'!$A$2:$V$99,7,FALSE)</f>
        <v>563.5</v>
      </c>
      <c r="M44" s="29">
        <f>VLOOKUP($B44,'Unify Report'!$A$2:$V$99,8,FALSE)</f>
        <v>698.5</v>
      </c>
      <c r="N44" s="28">
        <f>VLOOKUP($B44,'Unify Report'!$A$2:$V$99,15,FALSE)</f>
        <v>597</v>
      </c>
      <c r="O44" s="30">
        <f>VLOOKUP($B44,'Unify Report'!$A$2:$V$99,16,FALSE)</f>
        <v>672</v>
      </c>
    </row>
    <row r="45" spans="1:15">
      <c r="A45" s="21">
        <v>201901</v>
      </c>
      <c r="B45" s="21" t="s">
        <v>95</v>
      </c>
      <c r="C45" s="21" t="s">
        <v>37</v>
      </c>
      <c r="D45" s="22" t="s">
        <v>129</v>
      </c>
      <c r="E45" s="56" t="s">
        <v>162</v>
      </c>
      <c r="F45" s="56" t="s">
        <v>169</v>
      </c>
      <c r="G45" s="56" t="s">
        <v>178</v>
      </c>
      <c r="H45" s="28">
        <f>VLOOKUP($B45,'Unify Report'!$A$2:$V$99,3,FALSE)</f>
        <v>1038.75</v>
      </c>
      <c r="I45" s="29">
        <f>VLOOKUP($B45,'Unify Report'!$A$2:$V$99,4,FALSE)</f>
        <v>1153.5</v>
      </c>
      <c r="J45" s="28">
        <f>VLOOKUP($B45,'Unify Report'!$A$2:$V$99,11,FALSE)</f>
        <v>726</v>
      </c>
      <c r="K45" s="29">
        <f>VLOOKUP($B45,'Unify Report'!$A$2:$V$99,12,FALSE)</f>
        <v>748</v>
      </c>
      <c r="L45" s="28">
        <f>VLOOKUP($B45,'Unify Report'!$A$2:$V$99,7,FALSE)</f>
        <v>686.5</v>
      </c>
      <c r="M45" s="29">
        <f>VLOOKUP($B45,'Unify Report'!$A$2:$V$99,8,FALSE)</f>
        <v>851.25</v>
      </c>
      <c r="N45" s="28">
        <f>VLOOKUP($B45,'Unify Report'!$A$2:$V$99,15,FALSE)</f>
        <v>517</v>
      </c>
      <c r="O45" s="30">
        <f>VLOOKUP($B45,'Unify Report'!$A$2:$V$99,16,FALSE)</f>
        <v>527.25</v>
      </c>
    </row>
    <row r="51" spans="8:15">
      <c r="H51" s="88">
        <f>SUM(H3:H45)</f>
        <v>82008.616666666669</v>
      </c>
      <c r="I51" s="88">
        <f t="shared" ref="I51:O51" si="0">SUM(I3:I45)</f>
        <v>85806.583333333343</v>
      </c>
      <c r="J51" s="88">
        <f t="shared" si="0"/>
        <v>70032.516666666677</v>
      </c>
      <c r="K51" s="88">
        <f t="shared" si="0"/>
        <v>72292.583333333343</v>
      </c>
      <c r="L51" s="88">
        <f t="shared" si="0"/>
        <v>37026.516666666663</v>
      </c>
      <c r="M51" s="88">
        <f t="shared" si="0"/>
        <v>35793.25</v>
      </c>
      <c r="N51" s="88">
        <f t="shared" si="0"/>
        <v>30303.4</v>
      </c>
      <c r="O51" s="88">
        <f t="shared" si="0"/>
        <v>25675.883333333331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showGridLines="0" tabSelected="1" topLeftCell="B1" workbookViewId="0">
      <pane ySplit="930" activePane="bottomLeft"/>
      <selection activeCell="U28" sqref="U28"/>
      <selection pane="bottomLeft" activeCell="U3" sqref="U3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5.7109375" customWidth="1"/>
    <col min="12" max="12" width="0" hidden="1" customWidth="1"/>
    <col min="13" max="13" width="15.85546875" customWidth="1"/>
    <col min="14" max="14" width="0" style="17" hidden="1" customWidth="1"/>
    <col min="15" max="15" width="2.85546875" customWidth="1"/>
    <col min="16" max="16" width="16.140625" customWidth="1"/>
    <col min="17" max="17" width="0" hidden="1" customWidth="1"/>
    <col min="18" max="18" width="3.42578125" customWidth="1"/>
    <col min="19" max="19" width="30.5703125" customWidth="1"/>
  </cols>
  <sheetData>
    <row r="1" spans="2:19" ht="15.75" thickBot="1"/>
    <row r="2" spans="2:19" ht="15.75" thickBot="1">
      <c r="F2" s="15" t="s">
        <v>151</v>
      </c>
      <c r="G2" s="16">
        <v>28</v>
      </c>
    </row>
    <row r="3" spans="2:19">
      <c r="G3" s="118"/>
    </row>
    <row r="4" spans="2:19" s="5" customFormat="1" ht="45" customHeigh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19" t="s">
        <v>283</v>
      </c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19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Report'!$A$2:$V$98,19,FALSE)</f>
        <v>5512.083333333333</v>
      </c>
      <c r="G6" s="29">
        <f>VLOOKUP($B6,'Unify Report'!$A$2:$V$98,20,FALSE)</f>
        <v>3763.25</v>
      </c>
      <c r="H6" s="94">
        <f>F6/G6</f>
        <v>1.4647135676166434</v>
      </c>
      <c r="I6" s="91">
        <f>F6-G6</f>
        <v>1748.833333333333</v>
      </c>
      <c r="J6" s="3"/>
      <c r="K6" s="51">
        <f>VLOOKUP($D6,Beddays_Data!$C$2:$E$101,2,FALSE)</f>
        <v>692</v>
      </c>
      <c r="L6" s="30">
        <f>VLOOKUP($D6,Beddays_Data!$C$2:$E$101,3,FALSE)</f>
        <v>672</v>
      </c>
      <c r="M6" s="28">
        <f t="shared" ref="M6:M52" si="0">$K6/$G$2</f>
        <v>24.714285714285715</v>
      </c>
      <c r="N6" s="30">
        <f t="shared" ref="N6:N52" si="1">$L6/$G$2</f>
        <v>24</v>
      </c>
      <c r="O6" s="3"/>
      <c r="P6" s="31">
        <f t="shared" ref="P6:P53" si="2">$F6/$K6</f>
        <v>7.9654383429672446</v>
      </c>
      <c r="Q6" s="32">
        <f t="shared" ref="Q6:Q53" si="3">$F6/$L6</f>
        <v>8.2025049603174605</v>
      </c>
      <c r="S6" s="21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Report'!$A$2:$V$98,19,FALSE)</f>
        <v>7856.166666666667</v>
      </c>
      <c r="G7" s="29">
        <f>VLOOKUP($B7,'Unify Report'!$A$2:$V$98,20,FALSE)</f>
        <v>7905.75</v>
      </c>
      <c r="H7" s="94">
        <f t="shared" ref="H7:H53" si="4">F7/G7</f>
        <v>0.9937281936143525</v>
      </c>
      <c r="I7" s="91">
        <f t="shared" ref="I7:I53" si="5">F7-G7</f>
        <v>-49.58333333333303</v>
      </c>
      <c r="J7" s="3"/>
      <c r="K7" s="51">
        <f>VLOOKUP($D7,Beddays_Data!$C$2:$E$101,2,FALSE)</f>
        <v>803</v>
      </c>
      <c r="L7" s="30">
        <f>VLOOKUP($D7,Beddays_Data!$C$2:$E$101,3,FALSE)</f>
        <v>924</v>
      </c>
      <c r="M7" s="28">
        <f t="shared" si="0"/>
        <v>28.678571428571427</v>
      </c>
      <c r="N7" s="30">
        <f t="shared" si="1"/>
        <v>33</v>
      </c>
      <c r="O7" s="3"/>
      <c r="P7" s="31">
        <f t="shared" si="2"/>
        <v>9.7835201328352017</v>
      </c>
      <c r="Q7" s="32">
        <f t="shared" si="3"/>
        <v>8.5023448773448784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Report'!$A$2:$V$98,19,FALSE)</f>
        <v>7042.5166666666664</v>
      </c>
      <c r="G8" s="29">
        <f>VLOOKUP($B8,'Unify Report'!$A$2:$V$98,20,FALSE)</f>
        <v>6479.25</v>
      </c>
      <c r="H8" s="94">
        <f t="shared" si="4"/>
        <v>1.0869339301102237</v>
      </c>
      <c r="I8" s="91">
        <f t="shared" si="5"/>
        <v>563.26666666666642</v>
      </c>
      <c r="J8" s="3"/>
      <c r="K8" s="51">
        <f>VLOOKUP($D8,Beddays_Data!$C$2:$E$101,2,FALSE)</f>
        <v>810</v>
      </c>
      <c r="L8" s="30">
        <f>VLOOKUP($D8,Beddays_Data!$C$2:$E$101,3,FALSE)</f>
        <v>840</v>
      </c>
      <c r="M8" s="28">
        <f t="shared" si="0"/>
        <v>28.928571428571427</v>
      </c>
      <c r="N8" s="30">
        <f t="shared" si="1"/>
        <v>30</v>
      </c>
      <c r="O8" s="3"/>
      <c r="P8" s="31">
        <f t="shared" si="2"/>
        <v>8.694465020576132</v>
      </c>
      <c r="Q8" s="32">
        <f t="shared" si="3"/>
        <v>8.3839484126984125</v>
      </c>
      <c r="S8" s="21"/>
    </row>
    <row r="9" spans="2:19">
      <c r="B9" s="70" t="s">
        <v>270</v>
      </c>
      <c r="C9" s="21" t="s">
        <v>266</v>
      </c>
      <c r="D9" s="98" t="s">
        <v>265</v>
      </c>
      <c r="F9" s="28">
        <f>VLOOKUP($B9,'Unify Report'!$A$2:$V$98,19,FALSE)</f>
        <v>1896.75</v>
      </c>
      <c r="G9" s="29">
        <f>VLOOKUP($B9,'Unify Report'!$A$2:$V$98,20,FALSE)</f>
        <v>1930.75</v>
      </c>
      <c r="H9" s="94">
        <f t="shared" ref="H9" si="6">F9/G9</f>
        <v>0.98239026285122366</v>
      </c>
      <c r="I9" s="91">
        <f t="shared" ref="I9" si="7">F9-G9</f>
        <v>-34</v>
      </c>
      <c r="J9" s="3"/>
      <c r="K9" s="51">
        <f>VLOOKUP($D9,Beddays_Data!$C$2:$E$101,2,FALSE)</f>
        <v>242</v>
      </c>
      <c r="L9" s="30">
        <f>VLOOKUP($D9,Beddays_Data!$C$2:$E$101,3,FALSE)</f>
        <v>0</v>
      </c>
      <c r="M9" s="28">
        <f t="shared" si="0"/>
        <v>8.6428571428571423</v>
      </c>
      <c r="N9" s="30">
        <f t="shared" si="1"/>
        <v>0</v>
      </c>
      <c r="O9" s="3"/>
      <c r="P9" s="31">
        <f t="shared" si="2"/>
        <v>7.8378099173553721</v>
      </c>
      <c r="Q9" s="32" t="e">
        <f t="shared" si="3"/>
        <v>#DIV/0!</v>
      </c>
      <c r="S9" s="21"/>
    </row>
    <row r="10" spans="2:19">
      <c r="B10" s="21" t="s">
        <v>57</v>
      </c>
      <c r="C10" s="21" t="s">
        <v>13</v>
      </c>
      <c r="D10" s="21" t="s">
        <v>99</v>
      </c>
      <c r="F10" s="28">
        <f>VLOOKUP($B10,'Unify Report'!$A$2:$V$98,19,FALSE)</f>
        <v>4689.333333333333</v>
      </c>
      <c r="G10" s="29">
        <f>VLOOKUP($B10,'Unify Report'!$A$2:$V$98,20,FALSE)</f>
        <v>4846</v>
      </c>
      <c r="H10" s="94">
        <f t="shared" si="4"/>
        <v>0.96767093135231796</v>
      </c>
      <c r="I10" s="91">
        <f t="shared" si="5"/>
        <v>-156.66666666666697</v>
      </c>
      <c r="J10" s="3"/>
      <c r="K10" s="51">
        <f>VLOOKUP($D10,Beddays_Data!$C$2:$E$101,2,FALSE)</f>
        <v>643</v>
      </c>
      <c r="L10" s="30">
        <f>VLOOKUP($D10,Beddays_Data!$C$2:$E$101,3,FALSE)</f>
        <v>700</v>
      </c>
      <c r="M10" s="28">
        <f t="shared" si="0"/>
        <v>22.964285714285715</v>
      </c>
      <c r="N10" s="30">
        <f t="shared" si="1"/>
        <v>25</v>
      </c>
      <c r="O10" s="3"/>
      <c r="P10" s="31">
        <f t="shared" si="2"/>
        <v>7.292897874546397</v>
      </c>
      <c r="Q10" s="32">
        <f t="shared" si="3"/>
        <v>6.6990476190476187</v>
      </c>
      <c r="S10" s="21"/>
    </row>
    <row r="11" spans="2:19">
      <c r="B11" s="21" t="s">
        <v>58</v>
      </c>
      <c r="C11" s="21" t="s">
        <v>18</v>
      </c>
      <c r="D11" s="21" t="s">
        <v>100</v>
      </c>
      <c r="F11" s="28">
        <f>VLOOKUP($B11,'Unify Report'!$A$2:$V$98,19,FALSE)</f>
        <v>3097.25</v>
      </c>
      <c r="G11" s="29">
        <f>VLOOKUP($B11,'Unify Report'!$A$2:$V$98,20,FALSE)</f>
        <v>2900.25</v>
      </c>
      <c r="H11" s="94">
        <f t="shared" si="4"/>
        <v>1.067925178863891</v>
      </c>
      <c r="I11" s="91">
        <f t="shared" si="5"/>
        <v>197</v>
      </c>
      <c r="J11" s="3"/>
      <c r="K11" s="51">
        <f>VLOOKUP($D11,Beddays_Data!$C$2:$E$101,2,FALSE)</f>
        <v>444</v>
      </c>
      <c r="L11" s="30">
        <f>VLOOKUP($D11,Beddays_Data!$C$2:$E$101,3,FALSE)</f>
        <v>476</v>
      </c>
      <c r="M11" s="28">
        <f t="shared" si="0"/>
        <v>15.857142857142858</v>
      </c>
      <c r="N11" s="30">
        <f t="shared" si="1"/>
        <v>17</v>
      </c>
      <c r="O11" s="3"/>
      <c r="P11" s="31">
        <f t="shared" si="2"/>
        <v>6.975788288288288</v>
      </c>
      <c r="Q11" s="32">
        <f t="shared" si="3"/>
        <v>6.5068277310924367</v>
      </c>
      <c r="S11" s="21"/>
    </row>
    <row r="12" spans="2:19">
      <c r="B12" s="21" t="s">
        <v>59</v>
      </c>
      <c r="C12" s="21" t="s">
        <v>15</v>
      </c>
      <c r="D12" s="21" t="s">
        <v>101</v>
      </c>
      <c r="F12" s="28">
        <f>VLOOKUP($B12,'Unify Report'!$A$2:$V$98,19,FALSE)</f>
        <v>4438.7333333333336</v>
      </c>
      <c r="G12" s="29">
        <f>VLOOKUP($B12,'Unify Report'!$A$2:$V$98,20,FALSE)</f>
        <v>4353.25</v>
      </c>
      <c r="H12" s="94">
        <f t="shared" si="4"/>
        <v>1.0196366699209403</v>
      </c>
      <c r="I12" s="91">
        <f t="shared" si="5"/>
        <v>85.483333333333576</v>
      </c>
      <c r="J12" s="3"/>
      <c r="K12" s="51">
        <f>VLOOKUP($D12,Beddays_Data!$C$2:$E$101,2,FALSE)</f>
        <v>616</v>
      </c>
      <c r="L12" s="30">
        <f>VLOOKUP($D12,Beddays_Data!$C$2:$E$101,3,FALSE)</f>
        <v>700</v>
      </c>
      <c r="M12" s="28">
        <f t="shared" si="0"/>
        <v>22</v>
      </c>
      <c r="N12" s="30">
        <f t="shared" si="1"/>
        <v>25</v>
      </c>
      <c r="O12" s="3"/>
      <c r="P12" s="31">
        <f t="shared" si="2"/>
        <v>7.2057359307359308</v>
      </c>
      <c r="Q12" s="32">
        <f t="shared" si="3"/>
        <v>6.341047619047619</v>
      </c>
      <c r="S12" s="21"/>
    </row>
    <row r="13" spans="2:19">
      <c r="B13" s="21" t="s">
        <v>60</v>
      </c>
      <c r="C13" s="21" t="s">
        <v>22</v>
      </c>
      <c r="D13" s="21" t="s">
        <v>102</v>
      </c>
      <c r="F13" s="28">
        <f>VLOOKUP($B13,'Unify Report'!$A$2:$V$98,19,FALSE)</f>
        <v>3147.9666666666667</v>
      </c>
      <c r="G13" s="29">
        <f>VLOOKUP($B13,'Unify Report'!$A$2:$V$98,20,FALSE)</f>
        <v>3088.5</v>
      </c>
      <c r="H13" s="94">
        <f t="shared" si="4"/>
        <v>1.0192542226539312</v>
      </c>
      <c r="I13" s="91">
        <f t="shared" si="5"/>
        <v>59.466666666666697</v>
      </c>
      <c r="J13" s="3"/>
      <c r="K13" s="51">
        <f>VLOOKUP($D13,Beddays_Data!$C$2:$E$101,2,FALSE)</f>
        <v>541</v>
      </c>
      <c r="L13" s="30">
        <f>VLOOKUP($D13,Beddays_Data!$C$2:$E$101,3,FALSE)</f>
        <v>560</v>
      </c>
      <c r="M13" s="28">
        <f t="shared" si="0"/>
        <v>19.321428571428573</v>
      </c>
      <c r="N13" s="30">
        <f t="shared" si="1"/>
        <v>20</v>
      </c>
      <c r="O13" s="3"/>
      <c r="P13" s="31">
        <f t="shared" si="2"/>
        <v>5.81879235982748</v>
      </c>
      <c r="Q13" s="32">
        <f t="shared" si="3"/>
        <v>5.6213690476190479</v>
      </c>
      <c r="S13" s="21"/>
    </row>
    <row r="14" spans="2:19">
      <c r="B14" s="21" t="s">
        <v>61</v>
      </c>
      <c r="C14" s="21" t="s">
        <v>23</v>
      </c>
      <c r="D14" s="21" t="s">
        <v>103</v>
      </c>
      <c r="F14" s="28">
        <f>VLOOKUP($B14,'Unify Report'!$A$2:$V$98,19,FALSE)</f>
        <v>3901.0666666666666</v>
      </c>
      <c r="G14" s="29">
        <f>VLOOKUP($B14,'Unify Report'!$A$2:$V$98,20,FALSE)</f>
        <v>3871.3166666666702</v>
      </c>
      <c r="H14" s="94">
        <f t="shared" si="4"/>
        <v>1.0076847239741853</v>
      </c>
      <c r="I14" s="91">
        <f t="shared" si="5"/>
        <v>29.749999999996362</v>
      </c>
      <c r="J14" s="3"/>
      <c r="K14" s="51">
        <f>VLOOKUP($D14,Beddays_Data!$C$2:$E$101,2,FALSE)</f>
        <v>365</v>
      </c>
      <c r="L14" s="30">
        <f>VLOOKUP($D14,Beddays_Data!$C$2:$E$101,3,FALSE)</f>
        <v>392</v>
      </c>
      <c r="M14" s="28">
        <f t="shared" si="0"/>
        <v>13.035714285714286</v>
      </c>
      <c r="N14" s="30">
        <f t="shared" si="1"/>
        <v>14</v>
      </c>
      <c r="O14" s="3"/>
      <c r="P14" s="31">
        <f t="shared" si="2"/>
        <v>10.687853881278539</v>
      </c>
      <c r="Q14" s="32">
        <f t="shared" si="3"/>
        <v>9.9517006802721095</v>
      </c>
      <c r="S14" s="21"/>
    </row>
    <row r="15" spans="2:19">
      <c r="B15" s="21" t="s">
        <v>62</v>
      </c>
      <c r="C15" s="21" t="s">
        <v>16</v>
      </c>
      <c r="D15" s="21" t="s">
        <v>104</v>
      </c>
      <c r="F15" s="28">
        <f>VLOOKUP($B15,'Unify Report'!$A$2:$V$98,19,FALSE)</f>
        <v>4479.333333333333</v>
      </c>
      <c r="G15" s="29">
        <f>VLOOKUP($B15,'Unify Report'!$A$2:$V$98,20,FALSE)</f>
        <v>3252</v>
      </c>
      <c r="H15" s="94">
        <f t="shared" si="4"/>
        <v>1.3774087740877408</v>
      </c>
      <c r="I15" s="91">
        <f t="shared" si="5"/>
        <v>1227.333333333333</v>
      </c>
      <c r="J15" s="3"/>
      <c r="K15" s="51">
        <f>VLOOKUP($D15,Beddays_Data!$C$2:$E$101,2,FALSE)</f>
        <v>552</v>
      </c>
      <c r="L15" s="30">
        <f>VLOOKUP($D15,Beddays_Data!$C$2:$E$101,3,FALSE)</f>
        <v>560</v>
      </c>
      <c r="M15" s="28">
        <f t="shared" si="0"/>
        <v>19.714285714285715</v>
      </c>
      <c r="N15" s="30">
        <f t="shared" si="1"/>
        <v>20</v>
      </c>
      <c r="O15" s="3"/>
      <c r="P15" s="31">
        <f t="shared" si="2"/>
        <v>8.1147342995169076</v>
      </c>
      <c r="Q15" s="32">
        <f t="shared" si="3"/>
        <v>7.9988095238095234</v>
      </c>
      <c r="S15" s="21"/>
    </row>
    <row r="16" spans="2:19">
      <c r="B16" s="21" t="s">
        <v>63</v>
      </c>
      <c r="C16" s="21" t="s">
        <v>14</v>
      </c>
      <c r="D16" s="21" t="s">
        <v>105</v>
      </c>
      <c r="F16" s="28">
        <f>VLOOKUP($B16,'Unify Report'!$A$2:$V$98,19,FALSE)</f>
        <v>4095.75</v>
      </c>
      <c r="G16" s="29">
        <f>VLOOKUP($B16,'Unify Report'!$A$2:$V$98,20,FALSE)</f>
        <v>3239.2499999999995</v>
      </c>
      <c r="H16" s="94">
        <f t="shared" si="4"/>
        <v>1.2644130585783748</v>
      </c>
      <c r="I16" s="91">
        <f t="shared" si="5"/>
        <v>856.50000000000045</v>
      </c>
      <c r="J16" s="3"/>
      <c r="K16" s="51">
        <f>VLOOKUP($D16,Beddays_Data!$C$2:$E$101,2,FALSE)</f>
        <v>500</v>
      </c>
      <c r="L16" s="30">
        <f>VLOOKUP($D16,Beddays_Data!$C$2:$E$101,3,FALSE)</f>
        <v>504</v>
      </c>
      <c r="M16" s="28">
        <f t="shared" si="0"/>
        <v>17.857142857142858</v>
      </c>
      <c r="N16" s="30">
        <f t="shared" si="1"/>
        <v>18</v>
      </c>
      <c r="O16" s="3"/>
      <c r="P16" s="31">
        <f t="shared" si="2"/>
        <v>8.1914999999999996</v>
      </c>
      <c r="Q16" s="32">
        <f t="shared" si="3"/>
        <v>8.1264880952380949</v>
      </c>
      <c r="S16" s="21"/>
    </row>
    <row r="17" spans="2:19">
      <c r="B17" s="21" t="s">
        <v>64</v>
      </c>
      <c r="C17" s="21" t="s">
        <v>21</v>
      </c>
      <c r="D17" s="21" t="s">
        <v>106</v>
      </c>
      <c r="F17" s="28">
        <f>VLOOKUP($B17,'Unify Report'!$A$2:$V$98,19,FALSE)</f>
        <v>4383.5</v>
      </c>
      <c r="G17" s="29">
        <f>VLOOKUP($B17,'Unify Report'!$A$2:$V$98,20,FALSE)</f>
        <v>3784</v>
      </c>
      <c r="H17" s="94">
        <f t="shared" si="4"/>
        <v>1.1584302325581395</v>
      </c>
      <c r="I17" s="91">
        <f t="shared" si="5"/>
        <v>599.5</v>
      </c>
      <c r="J17" s="3"/>
      <c r="K17" s="51">
        <f>VLOOKUP($D17,Beddays_Data!$C$2:$E$101,2,FALSE)</f>
        <v>645</v>
      </c>
      <c r="L17" s="30">
        <f>VLOOKUP($D17,Beddays_Data!$C$2:$E$101,3,FALSE)</f>
        <v>672</v>
      </c>
      <c r="M17" s="28">
        <f t="shared" si="0"/>
        <v>23.035714285714285</v>
      </c>
      <c r="N17" s="30">
        <f t="shared" si="1"/>
        <v>24</v>
      </c>
      <c r="O17" s="3"/>
      <c r="P17" s="31">
        <f t="shared" si="2"/>
        <v>6.7961240310077518</v>
      </c>
      <c r="Q17" s="32">
        <f t="shared" si="3"/>
        <v>6.5230654761904763</v>
      </c>
      <c r="S17" s="21"/>
    </row>
    <row r="18" spans="2:19">
      <c r="B18" s="21" t="s">
        <v>65</v>
      </c>
      <c r="C18" s="21" t="s">
        <v>24</v>
      </c>
      <c r="D18" s="22" t="s">
        <v>107</v>
      </c>
      <c r="F18" s="28">
        <f>VLOOKUP($B18,'Unify Report'!$A$2:$V$98,19,FALSE)</f>
        <v>4865.75</v>
      </c>
      <c r="G18" s="29">
        <f>VLOOKUP($B18,'Unify Report'!$A$2:$V$98,20,FALSE)</f>
        <v>4614.25</v>
      </c>
      <c r="H18" s="94">
        <f t="shared" si="4"/>
        <v>1.054505065828683</v>
      </c>
      <c r="I18" s="91">
        <f t="shared" si="5"/>
        <v>251.5</v>
      </c>
      <c r="J18" s="3"/>
      <c r="K18" s="51">
        <f>VLOOKUP($D18,Beddays_Data!$C$2:$E$101,2,FALSE)</f>
        <v>837</v>
      </c>
      <c r="L18" s="30">
        <f>VLOOKUP($D18,Beddays_Data!$C$2:$E$101,3,FALSE)</f>
        <v>840</v>
      </c>
      <c r="M18" s="28">
        <f t="shared" si="0"/>
        <v>29.892857142857142</v>
      </c>
      <c r="N18" s="30">
        <f t="shared" si="1"/>
        <v>30</v>
      </c>
      <c r="O18" s="3"/>
      <c r="P18" s="31">
        <f t="shared" si="2"/>
        <v>5.8133213859020314</v>
      </c>
      <c r="Q18" s="32">
        <f t="shared" si="3"/>
        <v>5.7925595238095235</v>
      </c>
      <c r="S18" s="21"/>
    </row>
    <row r="19" spans="2:19">
      <c r="B19" s="21" t="s">
        <v>66</v>
      </c>
      <c r="C19" s="21" t="s">
        <v>25</v>
      </c>
      <c r="D19" s="22" t="s">
        <v>108</v>
      </c>
      <c r="F19" s="28">
        <f>VLOOKUP($B19,'Unify Report'!$A$2:$V$98,19,FALSE)</f>
        <v>4674.75</v>
      </c>
      <c r="G19" s="29">
        <f>VLOOKUP($B19,'Unify Report'!$A$2:$V$98,20,FALSE)</f>
        <v>4420</v>
      </c>
      <c r="H19" s="94">
        <f t="shared" si="4"/>
        <v>1.0576357466063349</v>
      </c>
      <c r="I19" s="91">
        <f t="shared" si="5"/>
        <v>254.75</v>
      </c>
      <c r="J19" s="3"/>
      <c r="K19" s="51">
        <f>VLOOKUP($D19,Beddays_Data!$C$2:$E$101,2,FALSE)</f>
        <v>838</v>
      </c>
      <c r="L19" s="30">
        <f>VLOOKUP($D19,Beddays_Data!$C$2:$E$101,3,FALSE)</f>
        <v>840</v>
      </c>
      <c r="M19" s="28">
        <f t="shared" si="0"/>
        <v>29.928571428571427</v>
      </c>
      <c r="N19" s="30">
        <f t="shared" si="1"/>
        <v>30</v>
      </c>
      <c r="O19" s="3"/>
      <c r="P19" s="31">
        <f t="shared" si="2"/>
        <v>5.5784606205250595</v>
      </c>
      <c r="Q19" s="32">
        <f t="shared" si="3"/>
        <v>5.5651785714285715</v>
      </c>
      <c r="S19" s="21"/>
    </row>
    <row r="20" spans="2:19" s="5" customFormat="1">
      <c r="B20" s="33" t="s">
        <v>50</v>
      </c>
      <c r="C20" s="35"/>
      <c r="D20" s="36"/>
      <c r="F20" s="37">
        <f>SUM(F6:F19)</f>
        <v>64080.95</v>
      </c>
      <c r="G20" s="38">
        <f>SUM(G6:G19)</f>
        <v>58447.816666666673</v>
      </c>
      <c r="H20" s="95">
        <f t="shared" si="4"/>
        <v>1.0963788496234104</v>
      </c>
      <c r="I20" s="92">
        <f t="shared" si="5"/>
        <v>5633.1333333333241</v>
      </c>
      <c r="J20" s="18"/>
      <c r="K20" s="47">
        <f>SUM(K6:K19)</f>
        <v>8528</v>
      </c>
      <c r="L20" s="38">
        <f>SUM(L6:L19)</f>
        <v>8680</v>
      </c>
      <c r="M20" s="37">
        <f t="shared" si="0"/>
        <v>304.57142857142856</v>
      </c>
      <c r="N20" s="39">
        <f t="shared" si="1"/>
        <v>310</v>
      </c>
      <c r="O20" s="18"/>
      <c r="P20" s="40">
        <f t="shared" si="2"/>
        <v>7.514182692307692</v>
      </c>
      <c r="Q20" s="41">
        <f t="shared" si="3"/>
        <v>7.3825979262672812</v>
      </c>
      <c r="S20" s="21"/>
    </row>
    <row r="21" spans="2:19">
      <c r="B21" s="21" t="s">
        <v>67</v>
      </c>
      <c r="C21" s="21" t="s">
        <v>27</v>
      </c>
      <c r="D21" s="21" t="s">
        <v>109</v>
      </c>
      <c r="F21" s="28">
        <f>VLOOKUP($B21,'Unify Report'!$A$2:$V$98,19,FALSE)</f>
        <v>3338.1333333333332</v>
      </c>
      <c r="G21" s="29">
        <f>VLOOKUP($B21,'Unify Report'!$A$2:$V$98,20,FALSE)</f>
        <v>3565.3833333333332</v>
      </c>
      <c r="H21" s="94">
        <f t="shared" si="4"/>
        <v>0.93626211300327689</v>
      </c>
      <c r="I21" s="91">
        <f t="shared" si="5"/>
        <v>-227.25</v>
      </c>
      <c r="J21" s="3"/>
      <c r="K21" s="51">
        <f>VLOOKUP($D21,Beddays_Data!$C$2:$E$101,2,FALSE)</f>
        <v>256</v>
      </c>
      <c r="L21" s="30">
        <f>VLOOKUP($D21,Beddays_Data!$C$2:$E$101,3,FALSE)</f>
        <v>308</v>
      </c>
      <c r="M21" s="28">
        <f t="shared" si="0"/>
        <v>9.1428571428571423</v>
      </c>
      <c r="N21" s="30">
        <f t="shared" si="1"/>
        <v>11</v>
      </c>
      <c r="O21" s="3"/>
      <c r="P21" s="31">
        <f t="shared" si="2"/>
        <v>13.039583333333333</v>
      </c>
      <c r="Q21" s="32">
        <f t="shared" si="3"/>
        <v>10.838095238095237</v>
      </c>
      <c r="S21" s="21"/>
    </row>
    <row r="22" spans="2:19">
      <c r="B22" s="21" t="s">
        <v>68</v>
      </c>
      <c r="C22" s="21" t="s">
        <v>30</v>
      </c>
      <c r="D22" s="21" t="s">
        <v>110</v>
      </c>
      <c r="F22" s="28">
        <f>VLOOKUP($B22,'Unify Report'!$A$2:$V$98,19,FALSE)</f>
        <v>11941.916666666668</v>
      </c>
      <c r="G22" s="29">
        <f>VLOOKUP($B22,'Unify Report'!$A$2:$V$98,20,FALSE)</f>
        <v>12404.45</v>
      </c>
      <c r="H22" s="94">
        <f t="shared" si="4"/>
        <v>0.96271230620194104</v>
      </c>
      <c r="I22" s="91">
        <f t="shared" si="5"/>
        <v>-462.53333333333285</v>
      </c>
      <c r="J22" s="3"/>
      <c r="K22" s="51">
        <f>VLOOKUP($D22,Beddays_Data!$C$2:$E$101,2,FALSE)</f>
        <v>667</v>
      </c>
      <c r="L22" s="30">
        <f>VLOOKUP($D22,Beddays_Data!$C$2:$E$101,3,FALSE)</f>
        <v>672</v>
      </c>
      <c r="M22" s="28">
        <f t="shared" si="0"/>
        <v>23.821428571428573</v>
      </c>
      <c r="N22" s="30">
        <f t="shared" si="1"/>
        <v>24</v>
      </c>
      <c r="O22" s="3"/>
      <c r="P22" s="31">
        <f t="shared" si="2"/>
        <v>17.903923038480762</v>
      </c>
      <c r="Q22" s="32">
        <f t="shared" si="3"/>
        <v>17.770709325396826</v>
      </c>
      <c r="S22" s="21"/>
    </row>
    <row r="23" spans="2:19">
      <c r="B23" s="21" t="s">
        <v>69</v>
      </c>
      <c r="C23" s="21" t="s">
        <v>29</v>
      </c>
      <c r="D23" s="21" t="s">
        <v>111</v>
      </c>
      <c r="F23" s="28">
        <f>VLOOKUP($B23,'Unify Report'!$A$2:$V$98,19,FALSE)</f>
        <v>3559.416666666667</v>
      </c>
      <c r="G23" s="29">
        <f>VLOOKUP($B23,'Unify Report'!$A$2:$V$98,20,FALSE)</f>
        <v>3522.8</v>
      </c>
      <c r="H23" s="94">
        <f t="shared" si="4"/>
        <v>1.0103941940123387</v>
      </c>
      <c r="I23" s="91">
        <f t="shared" si="5"/>
        <v>36.616666666666788</v>
      </c>
      <c r="J23" s="3"/>
      <c r="K23" s="51">
        <f>VLOOKUP($D23,Beddays_Data!$C$2:$E$101,2,FALSE)</f>
        <v>666</v>
      </c>
      <c r="L23" s="30">
        <f>VLOOKUP($D23,Beddays_Data!$C$2:$E$101,3,FALSE)</f>
        <v>672</v>
      </c>
      <c r="M23" s="28">
        <f t="shared" si="0"/>
        <v>23.785714285714285</v>
      </c>
      <c r="N23" s="30">
        <f t="shared" si="1"/>
        <v>24</v>
      </c>
      <c r="O23" s="3"/>
      <c r="P23" s="31">
        <f t="shared" si="2"/>
        <v>5.3444694694694697</v>
      </c>
      <c r="Q23" s="32">
        <f t="shared" si="3"/>
        <v>5.2967509920634921</v>
      </c>
      <c r="S23" s="21"/>
    </row>
    <row r="24" spans="2:19">
      <c r="B24" s="21" t="s">
        <v>70</v>
      </c>
      <c r="C24" s="21" t="s">
        <v>28</v>
      </c>
      <c r="D24" s="21" t="s">
        <v>112</v>
      </c>
      <c r="F24" s="28">
        <f>VLOOKUP($B24,'Unify Report'!$A$2:$V$98,19,FALSE)</f>
        <v>4178.1666666666661</v>
      </c>
      <c r="G24" s="29">
        <f>VLOOKUP($B24,'Unify Report'!$A$2:$V$98,20,FALSE)</f>
        <v>3633.5</v>
      </c>
      <c r="H24" s="94">
        <f t="shared" si="4"/>
        <v>1.1499013806706113</v>
      </c>
      <c r="I24" s="91">
        <f t="shared" si="5"/>
        <v>544.66666666666606</v>
      </c>
      <c r="J24" s="3"/>
      <c r="K24" s="51">
        <f>VLOOKUP($D24,Beddays_Data!$C$2:$E$101,2,FALSE)</f>
        <v>642</v>
      </c>
      <c r="L24" s="30">
        <f>VLOOKUP($D24,Beddays_Data!$C$2:$E$101,3,FALSE)</f>
        <v>644</v>
      </c>
      <c r="M24" s="28">
        <f t="shared" si="0"/>
        <v>22.928571428571427</v>
      </c>
      <c r="N24" s="30">
        <f t="shared" si="1"/>
        <v>23</v>
      </c>
      <c r="O24" s="3"/>
      <c r="P24" s="31">
        <f t="shared" si="2"/>
        <v>6.5080477673935606</v>
      </c>
      <c r="Q24" s="32">
        <f t="shared" si="3"/>
        <v>6.4878364389233942</v>
      </c>
      <c r="S24" s="21"/>
    </row>
    <row r="25" spans="2:19">
      <c r="B25" s="21" t="s">
        <v>71</v>
      </c>
      <c r="C25" s="21" t="s">
        <v>26</v>
      </c>
      <c r="D25" s="21" t="s">
        <v>113</v>
      </c>
      <c r="F25" s="28">
        <f>VLOOKUP($B25,'Unify Report'!$A$2:$V$98,19,FALSE)</f>
        <v>3584</v>
      </c>
      <c r="G25" s="29">
        <f>VLOOKUP($B25,'Unify Report'!$A$2:$V$98,20,FALSE)</f>
        <v>3532.25</v>
      </c>
      <c r="H25" s="94">
        <f t="shared" si="4"/>
        <v>1.0146507183806355</v>
      </c>
      <c r="I25" s="91">
        <f t="shared" si="5"/>
        <v>51.75</v>
      </c>
      <c r="J25" s="3"/>
      <c r="K25" s="51">
        <f>VLOOKUP($D25,Beddays_Data!$C$2:$E$101,2,FALSE)</f>
        <v>661</v>
      </c>
      <c r="L25" s="30">
        <f>VLOOKUP($D25,Beddays_Data!$C$2:$E$101,3,FALSE)</f>
        <v>672</v>
      </c>
      <c r="M25" s="28">
        <f t="shared" si="0"/>
        <v>23.607142857142858</v>
      </c>
      <c r="N25" s="30">
        <f t="shared" si="1"/>
        <v>24</v>
      </c>
      <c r="O25" s="3"/>
      <c r="P25" s="31">
        <f t="shared" si="2"/>
        <v>5.4220877458396366</v>
      </c>
      <c r="Q25" s="32">
        <f t="shared" si="3"/>
        <v>5.333333333333333</v>
      </c>
      <c r="S25" s="21"/>
    </row>
    <row r="26" spans="2:19">
      <c r="B26" s="21" t="s">
        <v>72</v>
      </c>
      <c r="C26" s="21" t="s">
        <v>31</v>
      </c>
      <c r="D26" s="21" t="s">
        <v>114</v>
      </c>
      <c r="F26" s="28">
        <f>VLOOKUP($B26,'Unify Report'!$A$2:$V$98,19,FALSE)</f>
        <v>5923.5</v>
      </c>
      <c r="G26" s="29">
        <f>VLOOKUP($B26,'Unify Report'!$A$2:$V$98,20,FALSE)</f>
        <v>5828.2500000000036</v>
      </c>
      <c r="H26" s="94">
        <f t="shared" si="4"/>
        <v>1.0163428130227763</v>
      </c>
      <c r="I26" s="91">
        <f t="shared" si="5"/>
        <v>95.249999999996362</v>
      </c>
      <c r="J26" s="3"/>
      <c r="K26" s="51">
        <f>VLOOKUP($D26,Beddays_Data!$C$2:$E$101,2,FALSE)</f>
        <v>803</v>
      </c>
      <c r="L26" s="30">
        <f>VLOOKUP($D26,Beddays_Data!$C$2:$E$101,3,FALSE)</f>
        <v>896</v>
      </c>
      <c r="M26" s="28">
        <f t="shared" si="0"/>
        <v>28.678571428571427</v>
      </c>
      <c r="N26" s="30">
        <f t="shared" si="1"/>
        <v>32</v>
      </c>
      <c r="O26" s="3"/>
      <c r="P26" s="31">
        <f t="shared" si="2"/>
        <v>7.3767123287671232</v>
      </c>
      <c r="Q26" s="32">
        <f t="shared" si="3"/>
        <v>6.6110491071428568</v>
      </c>
      <c r="S26" s="21"/>
    </row>
    <row r="27" spans="2:19">
      <c r="B27" s="21" t="s">
        <v>73</v>
      </c>
      <c r="C27" s="21" t="s">
        <v>32</v>
      </c>
      <c r="D27" s="21" t="s">
        <v>115</v>
      </c>
      <c r="F27" s="28">
        <f>VLOOKUP($B27,'Unify Report'!$A$2:$V$98,19,FALSE)</f>
        <v>4912</v>
      </c>
      <c r="G27" s="29">
        <f>VLOOKUP($B27,'Unify Report'!$A$2:$V$98,20,FALSE)</f>
        <v>5187.4166666666624</v>
      </c>
      <c r="H27" s="94">
        <f t="shared" si="4"/>
        <v>0.94690677761891839</v>
      </c>
      <c r="I27" s="91">
        <f t="shared" si="5"/>
        <v>-275.41666666666242</v>
      </c>
      <c r="J27" s="3"/>
      <c r="K27" s="51">
        <f>VLOOKUP($D27,Beddays_Data!$C$2:$E$101,2,FALSE)</f>
        <v>667</v>
      </c>
      <c r="L27" s="30">
        <f>VLOOKUP($D27,Beddays_Data!$C$2:$E$101,3,FALSE)</f>
        <v>672</v>
      </c>
      <c r="M27" s="28">
        <f t="shared" si="0"/>
        <v>23.821428571428573</v>
      </c>
      <c r="N27" s="30">
        <f t="shared" si="1"/>
        <v>24</v>
      </c>
      <c r="O27" s="3"/>
      <c r="P27" s="31">
        <f t="shared" si="2"/>
        <v>7.3643178410794601</v>
      </c>
      <c r="Q27" s="32">
        <f t="shared" si="3"/>
        <v>7.3095238095238093</v>
      </c>
      <c r="S27" s="21"/>
    </row>
    <row r="28" spans="2:19" s="5" customFormat="1">
      <c r="B28" s="33" t="s">
        <v>51</v>
      </c>
      <c r="C28" s="35"/>
      <c r="D28" s="36"/>
      <c r="F28" s="37">
        <f>SUM(F21:F27)</f>
        <v>37437.133333333331</v>
      </c>
      <c r="G28" s="38">
        <f>SUM(G21:G27)</f>
        <v>37674.050000000003</v>
      </c>
      <c r="H28" s="95">
        <f t="shared" si="4"/>
        <v>0.99371140966615823</v>
      </c>
      <c r="I28" s="92">
        <f t="shared" si="5"/>
        <v>-236.91666666667152</v>
      </c>
      <c r="J28" s="18"/>
      <c r="K28" s="47">
        <f>SUM(K21:K27)</f>
        <v>4362</v>
      </c>
      <c r="L28" s="39">
        <f>SUM(L21:L27)</f>
        <v>4536</v>
      </c>
      <c r="M28" s="37">
        <f t="shared" si="0"/>
        <v>155.78571428571428</v>
      </c>
      <c r="N28" s="39">
        <f t="shared" si="1"/>
        <v>162</v>
      </c>
      <c r="O28" s="18"/>
      <c r="P28" s="40">
        <f t="shared" si="2"/>
        <v>8.5825615161241018</v>
      </c>
      <c r="Q28" s="41">
        <f t="shared" si="3"/>
        <v>8.2533362727807162</v>
      </c>
      <c r="S28" s="21"/>
    </row>
    <row r="29" spans="2:19">
      <c r="B29" s="21" t="s">
        <v>74</v>
      </c>
      <c r="C29" s="21" t="s">
        <v>232</v>
      </c>
      <c r="D29" s="22" t="s">
        <v>116</v>
      </c>
      <c r="F29" s="28">
        <f>VLOOKUP($B29,'Unify Report'!$A$2:$V$98,19,FALSE)</f>
        <v>2774.5</v>
      </c>
      <c r="G29" s="29">
        <f>VLOOKUP($B29,'Unify Report'!$A$2:$V$98,20,FALSE)</f>
        <v>3198.25</v>
      </c>
      <c r="H29" s="94">
        <f t="shared" si="4"/>
        <v>0.86750566716172905</v>
      </c>
      <c r="I29" s="91">
        <f t="shared" si="5"/>
        <v>-423.75</v>
      </c>
      <c r="J29" s="3"/>
      <c r="K29" s="51">
        <f>VLOOKUP($D29,Beddays_Data!$C$2:$E$101,2,FALSE)</f>
        <v>210</v>
      </c>
      <c r="L29" s="30">
        <f>VLOOKUP($D29,Beddays_Data!$C$2:$E$101,3,FALSE)</f>
        <v>308</v>
      </c>
      <c r="M29" s="28">
        <f t="shared" si="0"/>
        <v>7.5</v>
      </c>
      <c r="N29" s="30">
        <f t="shared" si="1"/>
        <v>11</v>
      </c>
      <c r="O29" s="3"/>
      <c r="P29" s="31">
        <f t="shared" si="2"/>
        <v>13.211904761904762</v>
      </c>
      <c r="Q29" s="32">
        <f t="shared" si="3"/>
        <v>9.0081168831168839</v>
      </c>
      <c r="S29" s="21"/>
    </row>
    <row r="30" spans="2:19">
      <c r="B30" s="21" t="s">
        <v>75</v>
      </c>
      <c r="C30" s="21" t="s">
        <v>40</v>
      </c>
      <c r="D30" s="21" t="s">
        <v>117</v>
      </c>
      <c r="F30" s="28">
        <f>VLOOKUP($B30,'Unify Report'!$A$2:$V$98,19,FALSE)</f>
        <v>13487.75</v>
      </c>
      <c r="G30" s="29">
        <f>VLOOKUP($B30,'Unify Report'!$A$2:$V$98,20,FALSE)</f>
        <v>13544.25</v>
      </c>
      <c r="H30" s="94">
        <f t="shared" si="4"/>
        <v>0.99582848810380786</v>
      </c>
      <c r="I30" s="91">
        <f t="shared" si="5"/>
        <v>-56.5</v>
      </c>
      <c r="J30" s="3"/>
      <c r="K30" s="51">
        <f>VLOOKUP($D30,Beddays_Data!$C$2:$E$101,2,FALSE)</f>
        <v>508</v>
      </c>
      <c r="L30" s="30">
        <f>VLOOKUP($D30,Beddays_Data!$C$2:$E$101,3,FALSE)</f>
        <v>560</v>
      </c>
      <c r="M30" s="28">
        <f t="shared" si="0"/>
        <v>18.142857142857142</v>
      </c>
      <c r="N30" s="30">
        <f t="shared" si="1"/>
        <v>20</v>
      </c>
      <c r="O30" s="3"/>
      <c r="P30" s="31">
        <f t="shared" si="2"/>
        <v>26.550688976377952</v>
      </c>
      <c r="Q30" s="32">
        <f t="shared" si="3"/>
        <v>24.085267857142856</v>
      </c>
      <c r="S30" s="21"/>
    </row>
    <row r="31" spans="2:19">
      <c r="B31" s="21" t="s">
        <v>76</v>
      </c>
      <c r="C31" s="21" t="s">
        <v>44</v>
      </c>
      <c r="D31" s="21" t="s">
        <v>118</v>
      </c>
      <c r="F31" s="28">
        <f>VLOOKUP($B31,'Unify Report'!$A$2:$V$98,19,FALSE)</f>
        <v>3356</v>
      </c>
      <c r="G31" s="29">
        <f>VLOOKUP($B31,'Unify Report'!$A$2:$V$98,20,FALSE)</f>
        <v>3645</v>
      </c>
      <c r="H31" s="94">
        <f t="shared" si="4"/>
        <v>0.9207133058984911</v>
      </c>
      <c r="I31" s="91">
        <f t="shared" si="5"/>
        <v>-289</v>
      </c>
      <c r="J31" s="3"/>
      <c r="K31" s="51">
        <f>VLOOKUP($D31,Beddays_Data!$C$2:$E$101,2,FALSE)</f>
        <v>471</v>
      </c>
      <c r="L31" s="30">
        <f>VLOOKUP($D31,Beddays_Data!$C$2:$E$101,3,FALSE)</f>
        <v>504</v>
      </c>
      <c r="M31" s="28">
        <f t="shared" si="0"/>
        <v>16.821428571428573</v>
      </c>
      <c r="N31" s="30">
        <f t="shared" si="1"/>
        <v>18</v>
      </c>
      <c r="O31" s="3"/>
      <c r="P31" s="31">
        <f t="shared" si="2"/>
        <v>7.1252653927813165</v>
      </c>
      <c r="Q31" s="32">
        <f t="shared" si="3"/>
        <v>6.6587301587301591</v>
      </c>
      <c r="S31" s="21"/>
    </row>
    <row r="32" spans="2:19">
      <c r="B32" s="21" t="s">
        <v>77</v>
      </c>
      <c r="C32" s="21" t="s">
        <v>42</v>
      </c>
      <c r="D32" s="21" t="s">
        <v>119</v>
      </c>
      <c r="F32" s="28">
        <f>VLOOKUP($B32,'Unify Report'!$A$2:$V$98,19,FALSE)</f>
        <v>5210.5</v>
      </c>
      <c r="G32" s="29">
        <f>VLOOKUP($B32,'Unify Report'!$A$2:$V$98,20,FALSE)</f>
        <v>3804.75</v>
      </c>
      <c r="H32" s="94">
        <f t="shared" si="4"/>
        <v>1.3694723700637361</v>
      </c>
      <c r="I32" s="91">
        <f t="shared" si="5"/>
        <v>1405.75</v>
      </c>
      <c r="J32" s="3"/>
      <c r="K32" s="51">
        <f>VLOOKUP($D32,Beddays_Data!$C$2:$E$101,2,FALSE)</f>
        <v>567</v>
      </c>
      <c r="L32" s="30">
        <f>VLOOKUP($D32,Beddays_Data!$C$2:$E$101,3,FALSE)</f>
        <v>616</v>
      </c>
      <c r="M32" s="28">
        <f t="shared" si="0"/>
        <v>20.25</v>
      </c>
      <c r="N32" s="30">
        <f t="shared" si="1"/>
        <v>22</v>
      </c>
      <c r="O32" s="3"/>
      <c r="P32" s="31">
        <f t="shared" si="2"/>
        <v>9.1895943562610221</v>
      </c>
      <c r="Q32" s="32">
        <f t="shared" si="3"/>
        <v>8.458603896103897</v>
      </c>
      <c r="S32" s="21"/>
    </row>
    <row r="33" spans="2:19">
      <c r="B33" s="21" t="s">
        <v>78</v>
      </c>
      <c r="C33" s="21" t="s">
        <v>43</v>
      </c>
      <c r="D33" s="21" t="s">
        <v>120</v>
      </c>
      <c r="F33" s="28">
        <f>VLOOKUP($B33,'Unify Report'!$A$2:$V$98,19,FALSE)</f>
        <v>4691.8</v>
      </c>
      <c r="G33" s="29">
        <f>VLOOKUP($B33,'Unify Report'!$A$2:$V$98,20,FALSE)</f>
        <v>4737.0166666666701</v>
      </c>
      <c r="H33" s="94">
        <f t="shared" si="4"/>
        <v>0.99045461102451893</v>
      </c>
      <c r="I33" s="91">
        <f t="shared" si="5"/>
        <v>-45.21666666666988</v>
      </c>
      <c r="J33" s="3"/>
      <c r="K33" s="51">
        <f>VLOOKUP($D33,Beddays_Data!$C$2:$E$101,2,FALSE)</f>
        <v>517</v>
      </c>
      <c r="L33" s="30">
        <f>VLOOKUP($D33,Beddays_Data!$C$2:$E$101,3,FALSE)</f>
        <v>644</v>
      </c>
      <c r="M33" s="28">
        <f t="shared" si="0"/>
        <v>18.464285714285715</v>
      </c>
      <c r="N33" s="30">
        <f t="shared" si="1"/>
        <v>23</v>
      </c>
      <c r="O33" s="3"/>
      <c r="P33" s="31">
        <f t="shared" si="2"/>
        <v>9.0750483558994208</v>
      </c>
      <c r="Q33" s="32">
        <f t="shared" si="3"/>
        <v>7.2854037267080747</v>
      </c>
      <c r="S33" s="21"/>
    </row>
    <row r="34" spans="2:19">
      <c r="B34" s="21" t="s">
        <v>79</v>
      </c>
      <c r="C34" s="21" t="s">
        <v>39</v>
      </c>
      <c r="D34" s="21" t="s">
        <v>121</v>
      </c>
      <c r="F34" s="28">
        <f>VLOOKUP($B34,'Unify Report'!$A$2:$V$98,19,FALSE)</f>
        <v>5900.75</v>
      </c>
      <c r="G34" s="29">
        <f>VLOOKUP($B34,'Unify Report'!$A$2:$V$98,20,FALSE)</f>
        <v>6119.25</v>
      </c>
      <c r="H34" s="94">
        <f t="shared" si="4"/>
        <v>0.96429300976426846</v>
      </c>
      <c r="I34" s="91">
        <f t="shared" si="5"/>
        <v>-218.5</v>
      </c>
      <c r="J34" s="3"/>
      <c r="K34" s="51">
        <f>VLOOKUP($D34,Beddays_Data!$C$2:$E$101,2,FALSE)</f>
        <v>837</v>
      </c>
      <c r="L34" s="30">
        <f>VLOOKUP($D34,Beddays_Data!$C$2:$E$101,3,FALSE)</f>
        <v>896</v>
      </c>
      <c r="M34" s="28">
        <f t="shared" si="0"/>
        <v>29.892857142857142</v>
      </c>
      <c r="N34" s="30">
        <f t="shared" si="1"/>
        <v>32</v>
      </c>
      <c r="O34" s="3"/>
      <c r="P34" s="31">
        <f t="shared" si="2"/>
        <v>7.0498805256869774</v>
      </c>
      <c r="Q34" s="32">
        <f t="shared" si="3"/>
        <v>6.5856584821428568</v>
      </c>
      <c r="S34" s="21"/>
    </row>
    <row r="35" spans="2:19">
      <c r="B35" s="21" t="s">
        <v>80</v>
      </c>
      <c r="C35" s="21" t="s">
        <v>41</v>
      </c>
      <c r="D35" s="21" t="s">
        <v>122</v>
      </c>
      <c r="F35" s="28">
        <f>VLOOKUP($B35,'Unify Report'!$A$2:$V$98,19,FALSE)</f>
        <v>6492.666666666667</v>
      </c>
      <c r="G35" s="29">
        <f>VLOOKUP($B35,'Unify Report'!$A$2:$V$98,20,FALSE)</f>
        <v>6114</v>
      </c>
      <c r="H35" s="94">
        <f t="shared" si="4"/>
        <v>1.0619343583033476</v>
      </c>
      <c r="I35" s="91">
        <f t="shared" si="5"/>
        <v>378.66666666666697</v>
      </c>
      <c r="J35" s="3"/>
      <c r="K35" s="51">
        <f>VLOOKUP($D35,Beddays_Data!$C$2:$E$101,2,FALSE)</f>
        <v>885</v>
      </c>
      <c r="L35" s="30">
        <f>VLOOKUP($D35,Beddays_Data!$C$2:$E$101,3,FALSE)</f>
        <v>896</v>
      </c>
      <c r="M35" s="28">
        <f t="shared" si="0"/>
        <v>31.607142857142858</v>
      </c>
      <c r="N35" s="30">
        <f t="shared" si="1"/>
        <v>32</v>
      </c>
      <c r="O35" s="3"/>
      <c r="P35" s="31">
        <f t="shared" si="2"/>
        <v>7.3363465160075334</v>
      </c>
      <c r="Q35" s="32">
        <f t="shared" si="3"/>
        <v>7.2462797619047619</v>
      </c>
      <c r="S35" s="21"/>
    </row>
    <row r="36" spans="2:19" s="5" customFormat="1">
      <c r="B36" s="33" t="s">
        <v>52</v>
      </c>
      <c r="C36" s="35"/>
      <c r="D36" s="36"/>
      <c r="F36" s="37">
        <f>SUM(F29:F35)</f>
        <v>41913.966666666667</v>
      </c>
      <c r="G36" s="38">
        <f>SUM(G29:G35)</f>
        <v>41162.51666666667</v>
      </c>
      <c r="H36" s="95">
        <f t="shared" si="4"/>
        <v>1.018255686504429</v>
      </c>
      <c r="I36" s="92">
        <f t="shared" si="5"/>
        <v>751.44999999999709</v>
      </c>
      <c r="J36" s="18"/>
      <c r="K36" s="47">
        <f>SUM(K29:K35)</f>
        <v>3995</v>
      </c>
      <c r="L36" s="39">
        <f>SUM(L29:L35)</f>
        <v>4424</v>
      </c>
      <c r="M36" s="37">
        <f t="shared" si="0"/>
        <v>142.67857142857142</v>
      </c>
      <c r="N36" s="39">
        <f t="shared" si="1"/>
        <v>158</v>
      </c>
      <c r="O36" s="18"/>
      <c r="P36" s="40">
        <f t="shared" si="2"/>
        <v>10.491606174384648</v>
      </c>
      <c r="Q36" s="41">
        <f t="shared" si="3"/>
        <v>9.4742239300783613</v>
      </c>
      <c r="S36" s="21"/>
    </row>
    <row r="37" spans="2:19">
      <c r="B37" s="21" t="s">
        <v>81</v>
      </c>
      <c r="C37" s="21" t="s">
        <v>235</v>
      </c>
      <c r="D37" s="98" t="s">
        <v>244</v>
      </c>
      <c r="F37" s="28">
        <f>VLOOKUP($B37,'Unify Report'!$A$2:$V$98,19,FALSE)</f>
        <v>10257</v>
      </c>
      <c r="G37" s="29">
        <f>VLOOKUP($B37,'Unify Report'!$A$2:$V$98,20,FALSE)</f>
        <v>12285</v>
      </c>
      <c r="H37" s="94">
        <f t="shared" si="4"/>
        <v>0.83492063492063495</v>
      </c>
      <c r="I37" s="91">
        <f t="shared" si="5"/>
        <v>-2028</v>
      </c>
      <c r="J37" s="3"/>
      <c r="K37" s="51">
        <f>VLOOKUP($D37,Beddays_Data!$C$2:$E$101,2,FALSE)</f>
        <v>363</v>
      </c>
      <c r="L37" s="30">
        <f>VLOOKUP($D37,Beddays_Data!$C$2:$E$101,3,FALSE)</f>
        <v>504</v>
      </c>
      <c r="M37" s="28">
        <f t="shared" si="0"/>
        <v>12.964285714285714</v>
      </c>
      <c r="N37" s="30">
        <f t="shared" si="1"/>
        <v>18</v>
      </c>
      <c r="O37" s="3"/>
      <c r="P37" s="31">
        <f t="shared" si="2"/>
        <v>28.256198347107439</v>
      </c>
      <c r="Q37" s="32">
        <f t="shared" si="3"/>
        <v>20.351190476190474</v>
      </c>
      <c r="S37" s="21"/>
    </row>
    <row r="38" spans="2:19">
      <c r="B38" s="21" t="s">
        <v>82</v>
      </c>
      <c r="C38" s="21" t="s">
        <v>236</v>
      </c>
      <c r="D38" s="70" t="s">
        <v>246</v>
      </c>
      <c r="F38" s="28">
        <f>VLOOKUP($B38,'Unify Report'!$A$2:$V$98,19,FALSE)</f>
        <v>8253.7000000000007</v>
      </c>
      <c r="G38" s="29">
        <f>VLOOKUP($B38,'Unify Report'!$A$2:$V$98,20,FALSE)</f>
        <v>8575.6666666666679</v>
      </c>
      <c r="H38" s="94">
        <f t="shared" si="4"/>
        <v>0.96245578575037893</v>
      </c>
      <c r="I38" s="91">
        <f t="shared" si="5"/>
        <v>-321.96666666666715</v>
      </c>
      <c r="J38" s="3"/>
      <c r="K38" s="51">
        <f>VLOOKUP($D38,Beddays_Data!$C$2:$E$101,2,FALSE)</f>
        <v>733</v>
      </c>
      <c r="L38" s="30">
        <f>VLOOKUP($D38,Beddays_Data!$C$2:$E$101,3,FALSE)</f>
        <v>896</v>
      </c>
      <c r="M38" s="28">
        <f t="shared" si="0"/>
        <v>26.178571428571427</v>
      </c>
      <c r="N38" s="30">
        <f t="shared" si="1"/>
        <v>32</v>
      </c>
      <c r="O38" s="3"/>
      <c r="P38" s="31">
        <f t="shared" si="2"/>
        <v>11.260163710777627</v>
      </c>
      <c r="Q38" s="32">
        <f t="shared" si="3"/>
        <v>9.2117187500000011</v>
      </c>
      <c r="S38" s="21"/>
    </row>
    <row r="39" spans="2:19">
      <c r="B39" s="21" t="s">
        <v>83</v>
      </c>
      <c r="C39" s="21" t="s">
        <v>237</v>
      </c>
      <c r="D39" s="70" t="s">
        <v>253</v>
      </c>
      <c r="F39" s="28">
        <f>VLOOKUP($B39,'Unify Report'!$A$2:$V$98,19,FALSE)</f>
        <v>4162.75</v>
      </c>
      <c r="G39" s="29">
        <f>VLOOKUP($B39,'Unify Report'!$A$2:$V$98,20,FALSE)</f>
        <v>4284.5</v>
      </c>
      <c r="H39" s="94">
        <f t="shared" si="4"/>
        <v>0.97158361535768467</v>
      </c>
      <c r="I39" s="91">
        <f t="shared" si="5"/>
        <v>-121.75</v>
      </c>
      <c r="J39" s="3"/>
      <c r="K39" s="51">
        <f>VLOOKUP($D39,Beddays_Data!$C$2:$E$101,2,FALSE)</f>
        <v>438</v>
      </c>
      <c r="L39" s="30">
        <f>VLOOKUP($D39,Beddays_Data!$C$2:$E$101,3,FALSE)</f>
        <v>616</v>
      </c>
      <c r="M39" s="28">
        <f t="shared" si="0"/>
        <v>15.642857142857142</v>
      </c>
      <c r="N39" s="30">
        <f t="shared" si="1"/>
        <v>22</v>
      </c>
      <c r="O39" s="3"/>
      <c r="P39" s="31">
        <f t="shared" si="2"/>
        <v>9.5039954337899548</v>
      </c>
      <c r="Q39" s="32">
        <f t="shared" si="3"/>
        <v>6.7577110389610393</v>
      </c>
      <c r="S39" s="21"/>
    </row>
    <row r="40" spans="2:19">
      <c r="B40" s="21" t="s">
        <v>84</v>
      </c>
      <c r="C40" s="21" t="s">
        <v>238</v>
      </c>
      <c r="D40" s="70" t="s">
        <v>252</v>
      </c>
      <c r="F40" s="28">
        <f>VLOOKUP($B40,'Unify Report'!$A$2:$V$98,19,FALSE)</f>
        <v>3735</v>
      </c>
      <c r="G40" s="29">
        <f>VLOOKUP($B40,'Unify Report'!$A$2:$V$98,20,FALSE)</f>
        <v>4184.25</v>
      </c>
      <c r="H40" s="94">
        <f t="shared" si="4"/>
        <v>0.89263308836709088</v>
      </c>
      <c r="I40" s="91">
        <f t="shared" si="5"/>
        <v>-449.25</v>
      </c>
      <c r="J40" s="3"/>
      <c r="K40" s="51">
        <f>VLOOKUP($D40,Beddays_Data!$C$2:$E$101,2,FALSE)</f>
        <v>354</v>
      </c>
      <c r="L40" s="30">
        <f>VLOOKUP($D40,Beddays_Data!$C$2:$E$101,3,FALSE)</f>
        <v>448</v>
      </c>
      <c r="M40" s="28">
        <f t="shared" si="0"/>
        <v>12.642857142857142</v>
      </c>
      <c r="N40" s="30">
        <f t="shared" si="1"/>
        <v>16</v>
      </c>
      <c r="O40" s="3"/>
      <c r="P40" s="31">
        <f t="shared" si="2"/>
        <v>10.550847457627119</v>
      </c>
      <c r="Q40" s="32">
        <f t="shared" si="3"/>
        <v>8.3370535714285712</v>
      </c>
      <c r="S40" s="21"/>
    </row>
    <row r="41" spans="2:19">
      <c r="B41" s="21" t="s">
        <v>85</v>
      </c>
      <c r="C41" s="21" t="s">
        <v>239</v>
      </c>
      <c r="D41" s="70" t="s">
        <v>251</v>
      </c>
      <c r="F41" s="28">
        <f>VLOOKUP($B41,'Unify Report'!$A$2:$V$98,19,FALSE)</f>
        <v>3666</v>
      </c>
      <c r="G41" s="29">
        <f>VLOOKUP($B41,'Unify Report'!$A$2:$V$98,20,FALSE)</f>
        <v>3850</v>
      </c>
      <c r="H41" s="94">
        <f t="shared" si="4"/>
        <v>0.95220779220779217</v>
      </c>
      <c r="I41" s="91">
        <f t="shared" si="5"/>
        <v>-184</v>
      </c>
      <c r="J41" s="3"/>
      <c r="K41" s="51">
        <f>VLOOKUP($D41,Beddays_Data!$C$2:$E$101,2,FALSE)</f>
        <v>228</v>
      </c>
      <c r="L41" s="30">
        <f>VLOOKUP($D41,Beddays_Data!$C$2:$E$101,3,FALSE)</f>
        <v>280</v>
      </c>
      <c r="M41" s="28">
        <f t="shared" si="0"/>
        <v>8.1428571428571423</v>
      </c>
      <c r="N41" s="30">
        <f t="shared" si="1"/>
        <v>10</v>
      </c>
      <c r="O41" s="3"/>
      <c r="P41" s="31">
        <f t="shared" si="2"/>
        <v>16.078947368421051</v>
      </c>
      <c r="Q41" s="32">
        <f t="shared" si="3"/>
        <v>13.092857142857143</v>
      </c>
      <c r="S41" s="21"/>
    </row>
    <row r="42" spans="2:19">
      <c r="B42" s="21" t="s">
        <v>86</v>
      </c>
      <c r="C42" s="21" t="s">
        <v>240</v>
      </c>
      <c r="D42" s="70" t="s">
        <v>254</v>
      </c>
      <c r="F42" s="28">
        <f>VLOOKUP($B42,'Unify Report'!$A$2:$V$98,19,FALSE)</f>
        <v>4590.75</v>
      </c>
      <c r="G42" s="29">
        <f>VLOOKUP($B42,'Unify Report'!$A$2:$V$98,20,FALSE)</f>
        <v>4827.5</v>
      </c>
      <c r="H42" s="94">
        <f t="shared" si="4"/>
        <v>0.95095805282237178</v>
      </c>
      <c r="I42" s="91">
        <f t="shared" si="5"/>
        <v>-236.75</v>
      </c>
      <c r="J42" s="3"/>
      <c r="K42" s="51">
        <f>VLOOKUP($D42,Beddays_Data!$C$2:$E$101,2,FALSE)</f>
        <v>396</v>
      </c>
      <c r="L42" s="30">
        <f>VLOOKUP($D42,Beddays_Data!$C$2:$E$101,3,FALSE)</f>
        <v>448</v>
      </c>
      <c r="M42" s="28">
        <f t="shared" si="0"/>
        <v>14.142857142857142</v>
      </c>
      <c r="N42" s="30">
        <f t="shared" si="1"/>
        <v>16</v>
      </c>
      <c r="O42" s="3"/>
      <c r="P42" s="31">
        <f t="shared" si="2"/>
        <v>11.592803030303031</v>
      </c>
      <c r="Q42" s="32">
        <f t="shared" si="3"/>
        <v>10.247209821428571</v>
      </c>
      <c r="S42" s="21"/>
    </row>
    <row r="43" spans="2:19">
      <c r="B43" s="21" t="s">
        <v>87</v>
      </c>
      <c r="C43" s="21" t="s">
        <v>241</v>
      </c>
      <c r="D43" s="70" t="s">
        <v>247</v>
      </c>
      <c r="F43" s="28">
        <f>VLOOKUP($B43,'Unify Report'!$A$2:$V$98,19,FALSE)</f>
        <v>3932.7999999999997</v>
      </c>
      <c r="G43" s="29">
        <f>VLOOKUP($B43,'Unify Report'!$A$2:$V$98,20,FALSE)</f>
        <v>3201</v>
      </c>
      <c r="H43" s="94">
        <f t="shared" si="4"/>
        <v>1.2286160574820368</v>
      </c>
      <c r="I43" s="91">
        <f t="shared" si="5"/>
        <v>731.79999999999973</v>
      </c>
      <c r="J43" s="3"/>
      <c r="K43" s="51">
        <f>VLOOKUP($D43,Beddays_Data!$C$2:$E$101,2,FALSE)</f>
        <v>357</v>
      </c>
      <c r="L43" s="30">
        <f>VLOOKUP($D43,Beddays_Data!$C$2:$E$101,3,FALSE)</f>
        <v>392</v>
      </c>
      <c r="M43" s="28">
        <f t="shared" si="0"/>
        <v>12.75</v>
      </c>
      <c r="N43" s="30">
        <f t="shared" si="1"/>
        <v>14</v>
      </c>
      <c r="O43" s="3"/>
      <c r="P43" s="31">
        <f t="shared" si="2"/>
        <v>11.01624649859944</v>
      </c>
      <c r="Q43" s="32">
        <f t="shared" si="3"/>
        <v>10.032653061224488</v>
      </c>
      <c r="S43" s="21"/>
    </row>
    <row r="44" spans="2:19">
      <c r="B44" s="21" t="s">
        <v>88</v>
      </c>
      <c r="C44" s="21" t="s">
        <v>242</v>
      </c>
      <c r="D44" s="70" t="s">
        <v>255</v>
      </c>
      <c r="F44" s="28">
        <f>VLOOKUP($B44,'Unify Report'!$A$2:$V$98,19,FALSE)</f>
        <v>2144.3333333333335</v>
      </c>
      <c r="G44" s="29">
        <f>VLOOKUP($B44,'Unify Report'!$A$2:$V$98,20,FALSE)</f>
        <v>1915.5</v>
      </c>
      <c r="H44" s="94">
        <f t="shared" si="4"/>
        <v>1.119464021578352</v>
      </c>
      <c r="I44" s="91">
        <f t="shared" si="5"/>
        <v>228.83333333333348</v>
      </c>
      <c r="J44" s="3"/>
      <c r="K44" s="51">
        <f>VLOOKUP($D44,Beddays_Data!$C$2:$E$101,2,FALSE)</f>
        <v>185</v>
      </c>
      <c r="L44" s="30">
        <f>VLOOKUP($D44,Beddays_Data!$C$2:$E$101,3,FALSE)</f>
        <v>252</v>
      </c>
      <c r="M44" s="28">
        <f t="shared" si="0"/>
        <v>6.6071428571428568</v>
      </c>
      <c r="N44" s="30">
        <f t="shared" si="1"/>
        <v>9</v>
      </c>
      <c r="O44" s="3"/>
      <c r="P44" s="31">
        <f t="shared" si="2"/>
        <v>11.590990990990992</v>
      </c>
      <c r="Q44" s="32">
        <f t="shared" si="3"/>
        <v>8.5092592592592595</v>
      </c>
      <c r="S44" s="21"/>
    </row>
    <row r="45" spans="2:19">
      <c r="B45" s="21" t="s">
        <v>89</v>
      </c>
      <c r="C45" s="21" t="s">
        <v>243</v>
      </c>
      <c r="D45" s="70" t="s">
        <v>256</v>
      </c>
      <c r="F45" s="28">
        <f>VLOOKUP($B45,'Unify Report'!$A$2:$V$98,19,FALSE)</f>
        <v>4996.166666666667</v>
      </c>
      <c r="G45" s="29">
        <f>VLOOKUP($B45,'Unify Report'!$A$2:$V$98,20,FALSE)</f>
        <v>5140.5</v>
      </c>
      <c r="H45" s="94">
        <f t="shared" si="4"/>
        <v>0.97192231624679837</v>
      </c>
      <c r="I45" s="91">
        <f t="shared" si="5"/>
        <v>-144.33333333333303</v>
      </c>
      <c r="J45" s="3"/>
      <c r="K45" s="51">
        <f>VLOOKUP($D45,Beddays_Data!$C$2:$E$101,2,FALSE)</f>
        <v>461</v>
      </c>
      <c r="L45" s="30">
        <f>VLOOKUP($D45,Beddays_Data!$C$2:$E$101,3,FALSE)</f>
        <v>560</v>
      </c>
      <c r="M45" s="28">
        <f t="shared" si="0"/>
        <v>16.464285714285715</v>
      </c>
      <c r="N45" s="30">
        <f t="shared" si="1"/>
        <v>20</v>
      </c>
      <c r="O45" s="3"/>
      <c r="P45" s="31">
        <f t="shared" si="2"/>
        <v>10.83767172812726</v>
      </c>
      <c r="Q45" s="32">
        <f t="shared" si="3"/>
        <v>8.9217261904761909</v>
      </c>
      <c r="S45" s="21"/>
    </row>
    <row r="46" spans="2:19">
      <c r="B46" s="21" t="s">
        <v>90</v>
      </c>
      <c r="C46" s="21" t="s">
        <v>36</v>
      </c>
      <c r="D46" s="21" t="s">
        <v>124</v>
      </c>
      <c r="F46" s="28">
        <f>VLOOKUP($B46,'Unify Report'!$A$2:$V$98,19,FALSE)</f>
        <v>1272</v>
      </c>
      <c r="G46" s="29">
        <f>VLOOKUP($B46,'Unify Report'!$A$2:$V$98,20,FALSE)</f>
        <v>1353</v>
      </c>
      <c r="H46" s="94">
        <f t="shared" si="4"/>
        <v>0.94013303769401335</v>
      </c>
      <c r="I46" s="91">
        <f t="shared" si="5"/>
        <v>-81</v>
      </c>
      <c r="J46" s="3"/>
      <c r="K46" s="51">
        <f>VLOOKUP($D46,Beddays_Data!$C$2:$E$101,2,FALSE)</f>
        <v>29</v>
      </c>
      <c r="L46" s="30">
        <f>VLOOKUP($D46,Beddays_Data!$C$2:$E$101,3,FALSE)</f>
        <v>112</v>
      </c>
      <c r="M46" s="28">
        <f t="shared" si="0"/>
        <v>1.0357142857142858</v>
      </c>
      <c r="N46" s="30">
        <f t="shared" si="1"/>
        <v>4</v>
      </c>
      <c r="O46" s="3"/>
      <c r="P46" s="31">
        <f t="shared" si="2"/>
        <v>43.862068965517238</v>
      </c>
      <c r="Q46" s="32">
        <f t="shared" si="3"/>
        <v>11.357142857142858</v>
      </c>
      <c r="S46" s="21"/>
    </row>
    <row r="47" spans="2:19">
      <c r="B47" s="70" t="s">
        <v>91</v>
      </c>
      <c r="C47" s="21" t="s">
        <v>35</v>
      </c>
      <c r="D47" s="22" t="s">
        <v>125</v>
      </c>
      <c r="F47" s="28">
        <f>VLOOKUP($B47,'Unify Report'!$A$2:$V$98,19,FALSE)</f>
        <v>5420</v>
      </c>
      <c r="G47" s="29">
        <f>VLOOKUP($B47,'Unify Report'!$A$2:$V$98,20,FALSE)</f>
        <v>6545.5</v>
      </c>
      <c r="H47" s="94">
        <f t="shared" si="4"/>
        <v>0.82804980520968607</v>
      </c>
      <c r="I47" s="91">
        <f t="shared" si="5"/>
        <v>-1125.5</v>
      </c>
      <c r="J47" s="3"/>
      <c r="K47" s="51">
        <f>VLOOKUP($D47,Beddays_Data!$C$2:$E$101,2,FALSE)</f>
        <v>725</v>
      </c>
      <c r="L47" s="30">
        <f>VLOOKUP($D47,Beddays_Data!$C$2:$E$101,3,FALSE)</f>
        <v>1064</v>
      </c>
      <c r="M47" s="28">
        <f t="shared" si="0"/>
        <v>25.892857142857142</v>
      </c>
      <c r="N47" s="30">
        <f t="shared" si="1"/>
        <v>38</v>
      </c>
      <c r="O47" s="3"/>
      <c r="P47" s="31">
        <f t="shared" si="2"/>
        <v>7.4758620689655171</v>
      </c>
      <c r="Q47" s="32">
        <f t="shared" si="3"/>
        <v>5.0939849624060152</v>
      </c>
      <c r="S47" s="21"/>
    </row>
    <row r="48" spans="2:19">
      <c r="B48" s="21" t="s">
        <v>92</v>
      </c>
      <c r="C48" s="21" t="s">
        <v>38</v>
      </c>
      <c r="D48" s="22" t="s">
        <v>126</v>
      </c>
      <c r="F48" s="28">
        <f>VLOOKUP($B48,'Unify Report'!$A$2:$V$98,19,FALSE)</f>
        <v>10714.5</v>
      </c>
      <c r="G48" s="29">
        <f>VLOOKUP($B48,'Unify Report'!$A$2:$V$98,20,FALSE)</f>
        <v>12292</v>
      </c>
      <c r="H48" s="94">
        <f t="shared" si="4"/>
        <v>0.87166449723397332</v>
      </c>
      <c r="I48" s="91">
        <f t="shared" si="5"/>
        <v>-1577.5</v>
      </c>
      <c r="J48" s="3"/>
      <c r="K48" s="51">
        <f>VLOOKUP($D48,Beddays_Data!$C$2:$E$101,2,FALSE)</f>
        <v>798</v>
      </c>
      <c r="L48" s="30">
        <f>VLOOKUP($D48,Beddays_Data!$C$2:$E$101,3,FALSE)</f>
        <v>868</v>
      </c>
      <c r="M48" s="28">
        <f t="shared" si="0"/>
        <v>28.5</v>
      </c>
      <c r="N48" s="30">
        <f t="shared" si="1"/>
        <v>31</v>
      </c>
      <c r="O48" s="3"/>
      <c r="P48" s="31">
        <f t="shared" si="2"/>
        <v>13.426691729323307</v>
      </c>
      <c r="Q48" s="32">
        <f t="shared" si="3"/>
        <v>12.343894009216591</v>
      </c>
      <c r="S48" s="21"/>
    </row>
    <row r="49" spans="2:19">
      <c r="B49" s="21" t="s">
        <v>93</v>
      </c>
      <c r="C49" s="21" t="s">
        <v>33</v>
      </c>
      <c r="D49" s="22" t="s">
        <v>127</v>
      </c>
      <c r="F49" s="28">
        <f>VLOOKUP($B49,'Unify Report'!$A$2:$V$98,19,FALSE)</f>
        <v>2469.25</v>
      </c>
      <c r="G49" s="29">
        <f>VLOOKUP($B49,'Unify Report'!$A$2:$V$98,20,FALSE)</f>
        <v>2809</v>
      </c>
      <c r="H49" s="94">
        <f t="shared" si="4"/>
        <v>0.87904948380206482</v>
      </c>
      <c r="I49" s="91">
        <f t="shared" si="5"/>
        <v>-339.75</v>
      </c>
      <c r="J49" s="3"/>
      <c r="K49" s="51">
        <f>VLOOKUP($D49,Beddays_Data!$C$2:$E$101,2,FALSE)</f>
        <v>246</v>
      </c>
      <c r="L49" s="30">
        <f>VLOOKUP($D49,Beddays_Data!$C$2:$E$101,3,FALSE)</f>
        <v>448</v>
      </c>
      <c r="M49" s="28">
        <f t="shared" si="0"/>
        <v>8.7857142857142865</v>
      </c>
      <c r="N49" s="30">
        <f t="shared" si="1"/>
        <v>16</v>
      </c>
      <c r="O49" s="3"/>
      <c r="P49" s="31">
        <f t="shared" si="2"/>
        <v>10.03760162601626</v>
      </c>
      <c r="Q49" s="32">
        <f t="shared" si="3"/>
        <v>5.51171875</v>
      </c>
      <c r="S49" s="21"/>
    </row>
    <row r="50" spans="2:19">
      <c r="B50" s="21" t="s">
        <v>94</v>
      </c>
      <c r="C50" s="21" t="s">
        <v>34</v>
      </c>
      <c r="D50" s="22" t="s">
        <v>128</v>
      </c>
      <c r="F50" s="28">
        <f>VLOOKUP($B50,'Unify Report'!$A$2:$V$98,19,FALSE)</f>
        <v>7356.5</v>
      </c>
      <c r="G50" s="29">
        <f>VLOOKUP($B50,'Unify Report'!$A$2:$V$98,20,FALSE)</f>
        <v>7740.5</v>
      </c>
      <c r="H50" s="94">
        <f t="shared" si="4"/>
        <v>0.95039080162780187</v>
      </c>
      <c r="I50" s="91">
        <f t="shared" si="5"/>
        <v>-384</v>
      </c>
      <c r="J50" s="3"/>
      <c r="K50" s="51">
        <f>VLOOKUP($D50,Beddays_Data!$C$2:$E$101,2,FALSE)</f>
        <v>227</v>
      </c>
      <c r="L50" s="30">
        <f>VLOOKUP($D50,Beddays_Data!$C$2:$E$101,3,FALSE)</f>
        <v>392</v>
      </c>
      <c r="M50" s="28">
        <f t="shared" si="0"/>
        <v>8.1071428571428577</v>
      </c>
      <c r="N50" s="30">
        <f t="shared" si="1"/>
        <v>14</v>
      </c>
      <c r="O50" s="3"/>
      <c r="P50" s="31">
        <f t="shared" si="2"/>
        <v>32.407488986784138</v>
      </c>
      <c r="Q50" s="32">
        <f t="shared" si="3"/>
        <v>18.766581632653061</v>
      </c>
      <c r="S50" s="21"/>
    </row>
    <row r="51" spans="2:19">
      <c r="B51" s="21" t="s">
        <v>95</v>
      </c>
      <c r="C51" s="21" t="s">
        <v>37</v>
      </c>
      <c r="D51" s="22" t="s">
        <v>129</v>
      </c>
      <c r="F51" s="28">
        <f>VLOOKUP($B51,'Unify Report'!$A$2:$V$98,19,FALSE)</f>
        <v>2968.25</v>
      </c>
      <c r="G51" s="29">
        <f>VLOOKUP($B51,'Unify Report'!$A$2:$V$98,20,FALSE)</f>
        <v>3280</v>
      </c>
      <c r="H51" s="94">
        <f t="shared" si="4"/>
        <v>0.90495426829268288</v>
      </c>
      <c r="I51" s="91">
        <f t="shared" si="5"/>
        <v>-311.75</v>
      </c>
      <c r="J51" s="3"/>
      <c r="K51" s="51">
        <f>VLOOKUP($D51,Beddays_Data!$C$2:$E$101,2,FALSE)</f>
        <v>336</v>
      </c>
      <c r="L51" s="30">
        <f>VLOOKUP($D51,Beddays_Data!$C$2:$E$101,3,FALSE)</f>
        <v>616</v>
      </c>
      <c r="M51" s="28">
        <f t="shared" si="0"/>
        <v>12</v>
      </c>
      <c r="N51" s="30">
        <f t="shared" si="1"/>
        <v>22</v>
      </c>
      <c r="O51" s="3"/>
      <c r="P51" s="31">
        <f t="shared" si="2"/>
        <v>8.8340773809523814</v>
      </c>
      <c r="Q51" s="32">
        <f t="shared" si="3"/>
        <v>4.818587662337662</v>
      </c>
      <c r="S51" s="21"/>
    </row>
    <row r="52" spans="2:19" s="5" customFormat="1">
      <c r="B52" s="33" t="s">
        <v>156</v>
      </c>
      <c r="C52" s="35"/>
      <c r="D52" s="36"/>
      <c r="F52" s="37">
        <f>SUM(F37:F51)</f>
        <v>75939</v>
      </c>
      <c r="G52" s="38">
        <f>SUM(G37:G51)</f>
        <v>82283.916666666672</v>
      </c>
      <c r="H52" s="95">
        <f t="shared" si="4"/>
        <v>0.92288995318040068</v>
      </c>
      <c r="I52" s="92">
        <f t="shared" si="5"/>
        <v>-6344.9166666666715</v>
      </c>
      <c r="J52" s="18"/>
      <c r="K52" s="47">
        <f>SUM(K37:K51)</f>
        <v>5876</v>
      </c>
      <c r="L52" s="39">
        <f>SUM(L37:L51)</f>
        <v>7896</v>
      </c>
      <c r="M52" s="37">
        <f t="shared" si="0"/>
        <v>209.85714285714286</v>
      </c>
      <c r="N52" s="39">
        <f t="shared" si="1"/>
        <v>282</v>
      </c>
      <c r="O52" s="18"/>
      <c r="P52" s="40">
        <f t="shared" si="2"/>
        <v>12.923587474472431</v>
      </c>
      <c r="Q52" s="41">
        <f t="shared" si="3"/>
        <v>9.6174012158054705</v>
      </c>
      <c r="S52" s="21"/>
    </row>
    <row r="53" spans="2:19" s="5" customFormat="1" ht="15.75">
      <c r="B53" s="42" t="s">
        <v>157</v>
      </c>
      <c r="C53" s="43"/>
      <c r="D53" s="44"/>
      <c r="E53" s="34"/>
      <c r="F53" s="45">
        <f>F52+F36+F28+F20</f>
        <v>219371.05</v>
      </c>
      <c r="G53" s="46">
        <f>G52+G36+G28+G20</f>
        <v>219568.30000000002</v>
      </c>
      <c r="H53" s="96">
        <f t="shared" si="4"/>
        <v>0.9991016462758967</v>
      </c>
      <c r="I53" s="93">
        <f t="shared" si="5"/>
        <v>-197.2500000000291</v>
      </c>
      <c r="J53" s="49"/>
      <c r="K53" s="52">
        <f>K52+K36+K28+K20</f>
        <v>22761</v>
      </c>
      <c r="L53" s="46">
        <f>L52+L36+L28+L20</f>
        <v>25536</v>
      </c>
      <c r="M53" s="45">
        <f>M52+M36+M28+M20</f>
        <v>812.89285714285711</v>
      </c>
      <c r="N53" s="53">
        <f>N52+N36+N28+N20</f>
        <v>912</v>
      </c>
      <c r="O53" s="49"/>
      <c r="P53" s="54">
        <f t="shared" si="2"/>
        <v>9.6380233733140024</v>
      </c>
      <c r="Q53" s="50">
        <f t="shared" si="3"/>
        <v>8.5906582863408509</v>
      </c>
      <c r="S53" s="21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0" activePane="bottomLeft" state="frozenSplit"/>
      <selection pane="bottomLeft" activeCell="B18" sqref="B18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125906</v>
      </c>
      <c r="B2" s="21" t="s">
        <v>17</v>
      </c>
      <c r="C2" s="61">
        <v>1412</v>
      </c>
      <c r="D2" s="61">
        <v>1244.25</v>
      </c>
      <c r="E2" s="62">
        <v>1.1348201727948564</v>
      </c>
      <c r="F2" s="106">
        <v>167.75</v>
      </c>
      <c r="G2" s="100">
        <v>1650.5833333333333</v>
      </c>
      <c r="H2" s="61">
        <v>979</v>
      </c>
      <c r="I2" s="62">
        <v>1.6859891045284303</v>
      </c>
      <c r="J2" s="106">
        <v>671.58333333333326</v>
      </c>
      <c r="K2" s="100">
        <v>913</v>
      </c>
      <c r="L2" s="61">
        <v>924</v>
      </c>
      <c r="M2" s="62">
        <v>0.98809523809523814</v>
      </c>
      <c r="N2" s="106">
        <v>-11</v>
      </c>
      <c r="O2" s="100">
        <v>1536.5</v>
      </c>
      <c r="P2" s="61">
        <v>616</v>
      </c>
      <c r="Q2" s="62">
        <v>2.4943181818181817</v>
      </c>
      <c r="R2" s="106">
        <v>920.5</v>
      </c>
      <c r="S2" s="103">
        <f>O2+K2+G2+C2</f>
        <v>5512.083333333333</v>
      </c>
      <c r="T2" s="82">
        <f>P2+L2+H2+D2</f>
        <v>3763.25</v>
      </c>
      <c r="U2" s="83">
        <f>S2/T2</f>
        <v>1.4647135676166434</v>
      </c>
      <c r="V2" s="82">
        <f>S2-T2</f>
        <v>1748.833333333333</v>
      </c>
    </row>
    <row r="3" spans="1:22">
      <c r="A3" t="str">
        <f t="shared" ref="A3:A48" si="0">RIGHT(B3,6)</f>
        <v>127809</v>
      </c>
      <c r="B3" s="21" t="s">
        <v>20</v>
      </c>
      <c r="C3" s="61">
        <v>2401.75</v>
      </c>
      <c r="D3" s="61">
        <v>2411.75</v>
      </c>
      <c r="E3" s="62">
        <v>0.99585363325386134</v>
      </c>
      <c r="F3" s="106">
        <v>-10</v>
      </c>
      <c r="G3" s="100">
        <v>1745.9166666666667</v>
      </c>
      <c r="H3" s="61">
        <v>1732</v>
      </c>
      <c r="I3" s="62">
        <v>1.008035026943803</v>
      </c>
      <c r="J3" s="106">
        <v>13.916666666666742</v>
      </c>
      <c r="K3" s="100">
        <v>2069.5</v>
      </c>
      <c r="L3" s="61">
        <v>2156</v>
      </c>
      <c r="M3" s="62">
        <v>0.95987940630797774</v>
      </c>
      <c r="N3" s="106">
        <v>-86.5</v>
      </c>
      <c r="O3" s="100">
        <v>1639</v>
      </c>
      <c r="P3" s="61">
        <v>1606</v>
      </c>
      <c r="Q3" s="62">
        <v>1.0205479452054795</v>
      </c>
      <c r="R3" s="106">
        <v>33</v>
      </c>
      <c r="S3" s="103">
        <f t="shared" ref="S3:S49" si="1">O3+K3+G3+C3</f>
        <v>7856.166666666667</v>
      </c>
      <c r="T3" s="82">
        <f t="shared" ref="T3:T49" si="2">P3+L3+H3+D3</f>
        <v>7905.75</v>
      </c>
      <c r="U3" s="83">
        <f t="shared" ref="U3:U49" si="3">S3/T3</f>
        <v>0.9937281936143525</v>
      </c>
      <c r="V3" s="82">
        <f t="shared" ref="V3:V49" si="4">S3-T3</f>
        <v>-49.58333333333303</v>
      </c>
    </row>
    <row r="4" spans="1:22">
      <c r="A4" t="str">
        <f t="shared" si="0"/>
        <v>127808</v>
      </c>
      <c r="B4" s="21" t="s">
        <v>19</v>
      </c>
      <c r="C4" s="61">
        <v>1937.25</v>
      </c>
      <c r="D4" s="61">
        <v>2028.25</v>
      </c>
      <c r="E4" s="62">
        <v>0.95513373597929252</v>
      </c>
      <c r="F4" s="106">
        <v>-91</v>
      </c>
      <c r="G4" s="100">
        <v>1944.5</v>
      </c>
      <c r="H4" s="61">
        <v>1679</v>
      </c>
      <c r="I4" s="62">
        <v>1.1581298391899941</v>
      </c>
      <c r="J4" s="106">
        <v>265.5</v>
      </c>
      <c r="K4" s="100">
        <v>1485</v>
      </c>
      <c r="L4" s="61">
        <v>1540</v>
      </c>
      <c r="M4" s="62">
        <v>0.9642857142857143</v>
      </c>
      <c r="N4" s="106">
        <v>-55</v>
      </c>
      <c r="O4" s="100">
        <v>1675.7666666666667</v>
      </c>
      <c r="P4" s="61">
        <v>1232</v>
      </c>
      <c r="Q4" s="62">
        <v>1.3602002164502165</v>
      </c>
      <c r="R4" s="106">
        <v>443.76666666666665</v>
      </c>
      <c r="S4" s="103">
        <f t="shared" si="1"/>
        <v>7042.5166666666664</v>
      </c>
      <c r="T4" s="82">
        <f t="shared" si="2"/>
        <v>6479.25</v>
      </c>
      <c r="U4" s="83">
        <f t="shared" si="3"/>
        <v>1.0869339301102237</v>
      </c>
      <c r="V4" s="82">
        <f t="shared" si="4"/>
        <v>563.26666666666642</v>
      </c>
    </row>
    <row r="5" spans="1:22">
      <c r="A5" t="str">
        <f t="shared" si="0"/>
        <v>109120</v>
      </c>
      <c r="B5" s="98" t="s">
        <v>266</v>
      </c>
      <c r="C5" s="61">
        <v>678</v>
      </c>
      <c r="D5" s="61">
        <v>679.5</v>
      </c>
      <c r="E5" s="62">
        <v>0.99779249448123619</v>
      </c>
      <c r="F5" s="106">
        <v>-1.5</v>
      </c>
      <c r="G5" s="100">
        <v>305</v>
      </c>
      <c r="H5" s="61">
        <v>327.25</v>
      </c>
      <c r="I5" s="62">
        <v>0.93200916730328498</v>
      </c>
      <c r="J5" s="106">
        <v>-22.25</v>
      </c>
      <c r="K5" s="100">
        <v>616.75</v>
      </c>
      <c r="L5" s="61">
        <v>616</v>
      </c>
      <c r="M5" s="62">
        <v>1.0012175324675325</v>
      </c>
      <c r="N5" s="106">
        <v>0.75</v>
      </c>
      <c r="O5" s="100">
        <v>297</v>
      </c>
      <c r="P5" s="61">
        <v>308</v>
      </c>
      <c r="Q5" s="62">
        <v>0.9642857142857143</v>
      </c>
      <c r="R5" s="106">
        <v>-11</v>
      </c>
      <c r="S5" s="103">
        <f t="shared" ref="S5" si="5">O5+K5+G5+C5</f>
        <v>1896.75</v>
      </c>
      <c r="T5" s="82">
        <f t="shared" ref="T5" si="6">P5+L5+H5+D5</f>
        <v>1930.75</v>
      </c>
      <c r="U5" s="83">
        <f t="shared" ref="U5" si="7">S5/T5</f>
        <v>0.98239026285122366</v>
      </c>
      <c r="V5" s="82">
        <f t="shared" ref="V5" si="8">S5-T5</f>
        <v>-34</v>
      </c>
    </row>
    <row r="6" spans="1:22">
      <c r="A6" t="str">
        <f t="shared" si="0"/>
        <v>109008</v>
      </c>
      <c r="B6" s="21" t="s">
        <v>13</v>
      </c>
      <c r="C6" s="61">
        <v>1536.0833333333333</v>
      </c>
      <c r="D6" s="61">
        <v>1687</v>
      </c>
      <c r="E6" s="62">
        <v>0.91054139498122899</v>
      </c>
      <c r="F6" s="106">
        <v>-150.91666666666674</v>
      </c>
      <c r="G6" s="100">
        <v>998.75</v>
      </c>
      <c r="H6" s="61">
        <v>1014</v>
      </c>
      <c r="I6" s="62">
        <v>0.98496055226824453</v>
      </c>
      <c r="J6" s="106">
        <v>-15.25</v>
      </c>
      <c r="K6" s="100">
        <v>1221.25</v>
      </c>
      <c r="L6" s="61">
        <v>1232</v>
      </c>
      <c r="M6" s="62">
        <v>0.99127435064935066</v>
      </c>
      <c r="N6" s="106">
        <v>-10.75</v>
      </c>
      <c r="O6" s="100">
        <v>933.25</v>
      </c>
      <c r="P6" s="61">
        <v>913</v>
      </c>
      <c r="Q6" s="62">
        <v>1.0221796276013144</v>
      </c>
      <c r="R6" s="106">
        <v>20.25</v>
      </c>
      <c r="S6" s="103">
        <f t="shared" si="1"/>
        <v>4689.333333333333</v>
      </c>
      <c r="T6" s="82">
        <f t="shared" si="2"/>
        <v>4846</v>
      </c>
      <c r="U6" s="83">
        <f t="shared" si="3"/>
        <v>0.96767093135231796</v>
      </c>
      <c r="V6" s="82">
        <f t="shared" si="4"/>
        <v>-156.66666666666697</v>
      </c>
    </row>
    <row r="7" spans="1:22">
      <c r="A7" t="str">
        <f t="shared" si="0"/>
        <v>127810</v>
      </c>
      <c r="B7" s="21" t="s">
        <v>18</v>
      </c>
      <c r="C7" s="61">
        <v>994.25</v>
      </c>
      <c r="D7" s="61">
        <v>995.5</v>
      </c>
      <c r="E7" s="62">
        <v>0.99874434957307889</v>
      </c>
      <c r="F7" s="106">
        <v>-1.25</v>
      </c>
      <c r="G7" s="100">
        <v>723</v>
      </c>
      <c r="H7" s="61">
        <v>672.75</v>
      </c>
      <c r="I7" s="62">
        <v>1.0746934225195095</v>
      </c>
      <c r="J7" s="106">
        <v>50.25</v>
      </c>
      <c r="K7" s="100">
        <v>616</v>
      </c>
      <c r="L7" s="61">
        <v>616</v>
      </c>
      <c r="M7" s="62">
        <v>1</v>
      </c>
      <c r="N7" s="106">
        <v>0</v>
      </c>
      <c r="O7" s="100">
        <v>764</v>
      </c>
      <c r="P7" s="61">
        <v>616</v>
      </c>
      <c r="Q7" s="62">
        <v>1.2402597402597402</v>
      </c>
      <c r="R7" s="106">
        <v>148</v>
      </c>
      <c r="S7" s="103">
        <f t="shared" si="1"/>
        <v>3097.25</v>
      </c>
      <c r="T7" s="82">
        <f t="shared" si="2"/>
        <v>2900.25</v>
      </c>
      <c r="U7" s="83">
        <f t="shared" si="3"/>
        <v>1.067925178863891</v>
      </c>
      <c r="V7" s="82">
        <f t="shared" si="4"/>
        <v>197</v>
      </c>
    </row>
    <row r="8" spans="1:22">
      <c r="A8" t="str">
        <f t="shared" si="0"/>
        <v>109011</v>
      </c>
      <c r="B8" s="21" t="s">
        <v>15</v>
      </c>
      <c r="C8" s="61">
        <v>1468.25</v>
      </c>
      <c r="D8" s="61">
        <v>1480</v>
      </c>
      <c r="E8" s="62">
        <v>0.99206081081081077</v>
      </c>
      <c r="F8" s="106">
        <v>-11.75</v>
      </c>
      <c r="G8" s="100">
        <v>1002.5</v>
      </c>
      <c r="H8" s="61">
        <v>1025.25</v>
      </c>
      <c r="I8" s="62">
        <v>0.97781029017312848</v>
      </c>
      <c r="J8" s="106">
        <v>-22.75</v>
      </c>
      <c r="K8" s="100">
        <v>915</v>
      </c>
      <c r="L8" s="61">
        <v>924</v>
      </c>
      <c r="M8" s="62">
        <v>0.99025974025974028</v>
      </c>
      <c r="N8" s="106">
        <v>-9</v>
      </c>
      <c r="O8" s="100">
        <v>1052.9833333333333</v>
      </c>
      <c r="P8" s="61">
        <v>924</v>
      </c>
      <c r="Q8" s="62">
        <v>1.1395923520923521</v>
      </c>
      <c r="R8" s="106">
        <v>128.98333333333335</v>
      </c>
      <c r="S8" s="103">
        <f t="shared" si="1"/>
        <v>4438.7333333333336</v>
      </c>
      <c r="T8" s="82">
        <f t="shared" si="2"/>
        <v>4353.25</v>
      </c>
      <c r="U8" s="83">
        <f t="shared" si="3"/>
        <v>1.0196366699209403</v>
      </c>
      <c r="V8" s="82">
        <f t="shared" si="4"/>
        <v>85.483333333333576</v>
      </c>
    </row>
    <row r="9" spans="1:22">
      <c r="A9" t="str">
        <f t="shared" si="0"/>
        <v>109012</v>
      </c>
      <c r="B9" s="21" t="s">
        <v>22</v>
      </c>
      <c r="C9" s="61">
        <v>997</v>
      </c>
      <c r="D9" s="61">
        <v>1009</v>
      </c>
      <c r="E9" s="62">
        <v>0.98810703666997024</v>
      </c>
      <c r="F9" s="106">
        <v>-12</v>
      </c>
      <c r="G9" s="100">
        <v>816.75</v>
      </c>
      <c r="H9" s="61">
        <v>847.5</v>
      </c>
      <c r="I9" s="62">
        <v>0.963716814159292</v>
      </c>
      <c r="J9" s="106">
        <v>-30.75</v>
      </c>
      <c r="K9" s="100">
        <v>924</v>
      </c>
      <c r="L9" s="61">
        <v>924</v>
      </c>
      <c r="M9" s="62">
        <v>1</v>
      </c>
      <c r="N9" s="106">
        <v>0</v>
      </c>
      <c r="O9" s="100">
        <v>410.21666666666664</v>
      </c>
      <c r="P9" s="61">
        <v>308</v>
      </c>
      <c r="Q9" s="62">
        <v>1.3318722943722943</v>
      </c>
      <c r="R9" s="106">
        <v>102.21666666666664</v>
      </c>
      <c r="S9" s="103">
        <f t="shared" si="1"/>
        <v>3147.9666666666667</v>
      </c>
      <c r="T9" s="82">
        <f t="shared" si="2"/>
        <v>3088.5</v>
      </c>
      <c r="U9" s="83">
        <f t="shared" si="3"/>
        <v>1.0192542226539312</v>
      </c>
      <c r="V9" s="82">
        <f t="shared" si="4"/>
        <v>59.466666666666697</v>
      </c>
    </row>
    <row r="10" spans="1:22">
      <c r="A10" t="str">
        <f t="shared" si="0"/>
        <v>127817</v>
      </c>
      <c r="B10" s="21" t="s">
        <v>23</v>
      </c>
      <c r="C10" s="61">
        <v>1273.75</v>
      </c>
      <c r="D10" s="61">
        <v>1354</v>
      </c>
      <c r="E10" s="62">
        <v>0.94073116691285086</v>
      </c>
      <c r="F10" s="106">
        <v>-80.25</v>
      </c>
      <c r="G10" s="100">
        <v>706.5</v>
      </c>
      <c r="H10" s="61">
        <v>666.75</v>
      </c>
      <c r="I10" s="62">
        <v>1.0596175478065242</v>
      </c>
      <c r="J10" s="106">
        <v>39.75</v>
      </c>
      <c r="K10" s="100">
        <v>1216.3166666666666</v>
      </c>
      <c r="L10" s="61">
        <v>1234.56666666667</v>
      </c>
      <c r="M10" s="62">
        <v>0.98521748521748254</v>
      </c>
      <c r="N10" s="106">
        <v>-18.250000000003411</v>
      </c>
      <c r="O10" s="100">
        <v>704.5</v>
      </c>
      <c r="P10" s="61">
        <v>616</v>
      </c>
      <c r="Q10" s="62">
        <v>1.1436688311688312</v>
      </c>
      <c r="R10" s="106">
        <v>88.5</v>
      </c>
      <c r="S10" s="103">
        <f t="shared" si="1"/>
        <v>3901.0666666666666</v>
      </c>
      <c r="T10" s="82">
        <f t="shared" si="2"/>
        <v>3871.3166666666702</v>
      </c>
      <c r="U10" s="83">
        <f t="shared" si="3"/>
        <v>1.0076847239741853</v>
      </c>
      <c r="V10" s="82">
        <f t="shared" si="4"/>
        <v>29.749999999996362</v>
      </c>
    </row>
    <row r="11" spans="1:22">
      <c r="A11" t="str">
        <f t="shared" si="0"/>
        <v>109005</v>
      </c>
      <c r="B11" s="21" t="s">
        <v>16</v>
      </c>
      <c r="C11" s="61">
        <v>944.58333333333337</v>
      </c>
      <c r="D11" s="61">
        <v>1016.75</v>
      </c>
      <c r="E11" s="62">
        <v>0.92902221129415619</v>
      </c>
      <c r="F11" s="106">
        <v>-72.166666666666629</v>
      </c>
      <c r="G11" s="100">
        <v>1488.75</v>
      </c>
      <c r="H11" s="61">
        <v>1003.25</v>
      </c>
      <c r="I11" s="62">
        <v>1.4839272364814353</v>
      </c>
      <c r="J11" s="106">
        <v>485.5</v>
      </c>
      <c r="K11" s="100">
        <v>616</v>
      </c>
      <c r="L11" s="61">
        <v>616</v>
      </c>
      <c r="M11" s="62">
        <v>1</v>
      </c>
      <c r="N11" s="106">
        <v>0</v>
      </c>
      <c r="O11" s="100">
        <v>1430</v>
      </c>
      <c r="P11" s="61">
        <v>616</v>
      </c>
      <c r="Q11" s="62">
        <v>2.3214285714285716</v>
      </c>
      <c r="R11" s="106">
        <v>814</v>
      </c>
      <c r="S11" s="103">
        <f t="shared" si="1"/>
        <v>4479.333333333333</v>
      </c>
      <c r="T11" s="82">
        <f t="shared" si="2"/>
        <v>3252</v>
      </c>
      <c r="U11" s="83">
        <f t="shared" si="3"/>
        <v>1.3774087740877408</v>
      </c>
      <c r="V11" s="82">
        <f t="shared" si="4"/>
        <v>1227.333333333333</v>
      </c>
    </row>
    <row r="12" spans="1:22">
      <c r="A12" t="str">
        <f t="shared" si="0"/>
        <v>127811</v>
      </c>
      <c r="B12" s="21" t="s">
        <v>14</v>
      </c>
      <c r="C12" s="61">
        <v>669.25</v>
      </c>
      <c r="D12" s="61">
        <v>674.49999999999966</v>
      </c>
      <c r="E12" s="62">
        <v>0.99221645663454461</v>
      </c>
      <c r="F12" s="106">
        <v>-5.2499999999996589</v>
      </c>
      <c r="G12" s="100">
        <v>1743.5</v>
      </c>
      <c r="H12" s="61">
        <v>1332.75</v>
      </c>
      <c r="I12" s="62">
        <v>1.3081973363346464</v>
      </c>
      <c r="J12" s="106">
        <v>410.75</v>
      </c>
      <c r="K12" s="100">
        <v>605</v>
      </c>
      <c r="L12" s="61">
        <v>616</v>
      </c>
      <c r="M12" s="62">
        <v>0.9821428571428571</v>
      </c>
      <c r="N12" s="106">
        <v>-11</v>
      </c>
      <c r="O12" s="100">
        <v>1078</v>
      </c>
      <c r="P12" s="61">
        <v>616</v>
      </c>
      <c r="Q12" s="62">
        <v>1.75</v>
      </c>
      <c r="R12" s="106">
        <v>462</v>
      </c>
      <c r="S12" s="103">
        <f t="shared" si="1"/>
        <v>4095.75</v>
      </c>
      <c r="T12" s="82">
        <f t="shared" si="2"/>
        <v>3239.2499999999995</v>
      </c>
      <c r="U12" s="83">
        <f t="shared" si="3"/>
        <v>1.2644130585783748</v>
      </c>
      <c r="V12" s="82">
        <f t="shared" si="4"/>
        <v>856.50000000000045</v>
      </c>
    </row>
    <row r="13" spans="1:22">
      <c r="A13" t="str">
        <f t="shared" si="0"/>
        <v>127807</v>
      </c>
      <c r="B13" s="21" t="s">
        <v>21</v>
      </c>
      <c r="C13" s="61">
        <v>1387.25</v>
      </c>
      <c r="D13" s="61">
        <v>1233</v>
      </c>
      <c r="E13" s="62">
        <v>1.1251013787510138</v>
      </c>
      <c r="F13" s="106">
        <v>154.25</v>
      </c>
      <c r="G13" s="100">
        <v>1088.5</v>
      </c>
      <c r="H13" s="61">
        <v>1011</v>
      </c>
      <c r="I13" s="62">
        <v>1.0766567754698317</v>
      </c>
      <c r="J13" s="106">
        <v>77.5</v>
      </c>
      <c r="K13" s="100">
        <v>1111</v>
      </c>
      <c r="L13" s="61">
        <v>924</v>
      </c>
      <c r="M13" s="62">
        <v>1.2023809523809523</v>
      </c>
      <c r="N13" s="106">
        <v>187</v>
      </c>
      <c r="O13" s="100">
        <v>796.75</v>
      </c>
      <c r="P13" s="61">
        <v>616</v>
      </c>
      <c r="Q13" s="62">
        <v>1.2934253246753247</v>
      </c>
      <c r="R13" s="106">
        <v>180.75</v>
      </c>
      <c r="S13" s="103">
        <f t="shared" si="1"/>
        <v>4383.5</v>
      </c>
      <c r="T13" s="82">
        <f t="shared" si="2"/>
        <v>3784</v>
      </c>
      <c r="U13" s="83">
        <f t="shared" si="3"/>
        <v>1.1584302325581395</v>
      </c>
      <c r="V13" s="82">
        <f t="shared" si="4"/>
        <v>599.5</v>
      </c>
    </row>
    <row r="14" spans="1:22">
      <c r="A14" t="str">
        <f t="shared" si="0"/>
        <v>127050</v>
      </c>
      <c r="B14" s="21" t="s">
        <v>24</v>
      </c>
      <c r="C14" s="61">
        <v>1455</v>
      </c>
      <c r="D14" s="61">
        <v>1362.75</v>
      </c>
      <c r="E14" s="62">
        <v>1.0676940011007154</v>
      </c>
      <c r="F14" s="106">
        <v>92.25</v>
      </c>
      <c r="G14" s="100">
        <v>1587</v>
      </c>
      <c r="H14" s="61">
        <v>1711.5</v>
      </c>
      <c r="I14" s="62">
        <v>0.92725679228746716</v>
      </c>
      <c r="J14" s="106">
        <v>-124.5</v>
      </c>
      <c r="K14" s="100">
        <v>781.5</v>
      </c>
      <c r="L14" s="61">
        <v>616</v>
      </c>
      <c r="M14" s="62">
        <v>1.2686688311688312</v>
      </c>
      <c r="N14" s="106">
        <v>165.5</v>
      </c>
      <c r="O14" s="100">
        <v>1042.25</v>
      </c>
      <c r="P14" s="61">
        <v>924</v>
      </c>
      <c r="Q14" s="62">
        <v>1.1279761904761905</v>
      </c>
      <c r="R14" s="106">
        <v>118.25</v>
      </c>
      <c r="S14" s="103">
        <f t="shared" si="1"/>
        <v>4865.75</v>
      </c>
      <c r="T14" s="82">
        <f t="shared" si="2"/>
        <v>4614.25</v>
      </c>
      <c r="U14" s="83">
        <f t="shared" si="3"/>
        <v>1.054505065828683</v>
      </c>
      <c r="V14" s="82">
        <f t="shared" si="4"/>
        <v>251.5</v>
      </c>
    </row>
    <row r="15" spans="1:22">
      <c r="A15" t="str">
        <f t="shared" si="0"/>
        <v>127051</v>
      </c>
      <c r="B15" s="21" t="s">
        <v>25</v>
      </c>
      <c r="C15" s="61">
        <v>1432.5</v>
      </c>
      <c r="D15" s="61">
        <v>1359.5</v>
      </c>
      <c r="E15" s="63">
        <v>1.0536962118425892</v>
      </c>
      <c r="F15" s="106">
        <v>73</v>
      </c>
      <c r="G15" s="100">
        <v>1295.25</v>
      </c>
      <c r="H15" s="61">
        <v>1531.5</v>
      </c>
      <c r="I15" s="62">
        <v>0.84573947110675807</v>
      </c>
      <c r="J15" s="106">
        <v>-236.25</v>
      </c>
      <c r="K15" s="100">
        <v>781</v>
      </c>
      <c r="L15" s="61">
        <v>616</v>
      </c>
      <c r="M15" s="62">
        <v>1.2678571428571428</v>
      </c>
      <c r="N15" s="106">
        <v>165</v>
      </c>
      <c r="O15" s="100">
        <v>1166</v>
      </c>
      <c r="P15" s="61">
        <v>913</v>
      </c>
      <c r="Q15" s="62">
        <v>1.2771084337349397</v>
      </c>
      <c r="R15" s="106">
        <v>253</v>
      </c>
      <c r="S15" s="103">
        <f t="shared" si="1"/>
        <v>4674.75</v>
      </c>
      <c r="T15" s="82">
        <f t="shared" si="2"/>
        <v>4420</v>
      </c>
      <c r="U15" s="83">
        <f t="shared" si="3"/>
        <v>1.0576357466063349</v>
      </c>
      <c r="V15" s="82">
        <f t="shared" si="4"/>
        <v>254.75</v>
      </c>
    </row>
    <row r="16" spans="1:22" s="5" customFormat="1">
      <c r="A16"/>
      <c r="B16" s="64" t="s">
        <v>50</v>
      </c>
      <c r="C16" s="65">
        <v>18586.916666666664</v>
      </c>
      <c r="D16" s="65">
        <v>18535.75</v>
      </c>
      <c r="E16" s="66">
        <v>1.002760431418565</v>
      </c>
      <c r="F16" s="107">
        <v>51.166666666664241</v>
      </c>
      <c r="G16" s="101">
        <v>17096.5</v>
      </c>
      <c r="H16" s="65">
        <v>15533.5</v>
      </c>
      <c r="I16" s="67">
        <v>1.1006212379695497</v>
      </c>
      <c r="J16" s="107">
        <v>1563</v>
      </c>
      <c r="K16" s="101">
        <v>13871.316666666666</v>
      </c>
      <c r="L16" s="65">
        <v>13554.566666666669</v>
      </c>
      <c r="M16" s="66">
        <v>1.0233685080305035</v>
      </c>
      <c r="N16" s="107">
        <v>316.74999999999636</v>
      </c>
      <c r="O16" s="101">
        <v>14526.216666666667</v>
      </c>
      <c r="P16" s="65">
        <v>10824</v>
      </c>
      <c r="Q16" s="66">
        <v>1.3420377556048289</v>
      </c>
      <c r="R16" s="107">
        <v>3702.2166666666672</v>
      </c>
      <c r="S16" s="104">
        <f t="shared" si="1"/>
        <v>64080.95</v>
      </c>
      <c r="T16" s="84">
        <f t="shared" si="2"/>
        <v>58447.816666666666</v>
      </c>
      <c r="U16" s="85">
        <f t="shared" si="3"/>
        <v>1.0963788496234106</v>
      </c>
      <c r="V16" s="84">
        <f t="shared" si="4"/>
        <v>5633.1333333333314</v>
      </c>
    </row>
    <row r="17" spans="1:22">
      <c r="A17" t="str">
        <f t="shared" si="0"/>
        <v>109007</v>
      </c>
      <c r="B17" s="21" t="s">
        <v>27</v>
      </c>
      <c r="C17" s="61">
        <v>1528</v>
      </c>
      <c r="D17" s="61">
        <v>1686.5</v>
      </c>
      <c r="E17" s="62">
        <v>0.90601838126297063</v>
      </c>
      <c r="F17" s="106">
        <v>-158.5</v>
      </c>
      <c r="G17" s="100">
        <v>271.5</v>
      </c>
      <c r="H17" s="61">
        <v>340.75</v>
      </c>
      <c r="I17" s="62">
        <v>0.79677182685253123</v>
      </c>
      <c r="J17" s="106">
        <v>-69.25</v>
      </c>
      <c r="K17" s="100">
        <v>1232.5</v>
      </c>
      <c r="L17" s="61">
        <v>1232</v>
      </c>
      <c r="M17" s="62">
        <v>1.0004058441558441</v>
      </c>
      <c r="N17" s="106">
        <v>0.5</v>
      </c>
      <c r="O17" s="100">
        <v>306.13333333333333</v>
      </c>
      <c r="P17" s="61">
        <v>306.13333333333298</v>
      </c>
      <c r="Q17" s="62">
        <v>1.0000000000000011</v>
      </c>
      <c r="R17" s="106">
        <v>0</v>
      </c>
      <c r="S17" s="103">
        <f t="shared" si="1"/>
        <v>3338.1333333333332</v>
      </c>
      <c r="T17" s="82">
        <f t="shared" si="2"/>
        <v>3565.3833333333332</v>
      </c>
      <c r="U17" s="83">
        <f t="shared" si="3"/>
        <v>0.93626211300327689</v>
      </c>
      <c r="V17" s="82">
        <f t="shared" si="4"/>
        <v>-227.25</v>
      </c>
    </row>
    <row r="18" spans="1:22">
      <c r="A18" t="str">
        <f t="shared" si="0"/>
        <v>101141</v>
      </c>
      <c r="B18" s="21" t="s">
        <v>30</v>
      </c>
      <c r="C18" s="61">
        <v>5536.5</v>
      </c>
      <c r="D18" s="61">
        <v>5778.75</v>
      </c>
      <c r="E18" s="62">
        <v>0.95807916937053861</v>
      </c>
      <c r="F18" s="106">
        <v>-242.25</v>
      </c>
      <c r="G18" s="100">
        <v>482.25</v>
      </c>
      <c r="H18" s="61">
        <v>553.6999999999997</v>
      </c>
      <c r="I18" s="62">
        <v>0.8709590030702552</v>
      </c>
      <c r="J18" s="106">
        <v>-71.449999999999704</v>
      </c>
      <c r="K18" s="100">
        <v>5405.666666666667</v>
      </c>
      <c r="L18" s="61">
        <v>5750</v>
      </c>
      <c r="M18" s="62">
        <v>0.94011594202898552</v>
      </c>
      <c r="N18" s="106">
        <v>-344.33333333333303</v>
      </c>
      <c r="O18" s="100">
        <v>517.5</v>
      </c>
      <c r="P18" s="61">
        <v>322</v>
      </c>
      <c r="Q18" s="62">
        <v>1.6071428571428572</v>
      </c>
      <c r="R18" s="106">
        <v>195.5</v>
      </c>
      <c r="S18" s="103">
        <f t="shared" si="1"/>
        <v>11941.916666666668</v>
      </c>
      <c r="T18" s="82">
        <f t="shared" si="2"/>
        <v>12404.45</v>
      </c>
      <c r="U18" s="83">
        <f t="shared" si="3"/>
        <v>0.96271230620194104</v>
      </c>
      <c r="V18" s="82">
        <f t="shared" si="4"/>
        <v>-462.53333333333285</v>
      </c>
    </row>
    <row r="19" spans="1:22">
      <c r="A19" t="str">
        <f t="shared" si="0"/>
        <v>101951</v>
      </c>
      <c r="B19" s="21" t="s">
        <v>29</v>
      </c>
      <c r="C19" s="61">
        <v>1190</v>
      </c>
      <c r="D19" s="61">
        <v>1302.5</v>
      </c>
      <c r="E19" s="62">
        <v>0.91362763915547029</v>
      </c>
      <c r="F19" s="106">
        <v>-112.5</v>
      </c>
      <c r="G19" s="100">
        <v>1003.55</v>
      </c>
      <c r="H19" s="61">
        <v>988.3</v>
      </c>
      <c r="I19" s="62">
        <v>1.0154305372862491</v>
      </c>
      <c r="J19" s="106">
        <v>15.25</v>
      </c>
      <c r="K19" s="100">
        <v>913</v>
      </c>
      <c r="L19" s="61">
        <v>924</v>
      </c>
      <c r="M19" s="62">
        <v>0.98809523809523814</v>
      </c>
      <c r="N19" s="106">
        <v>-11</v>
      </c>
      <c r="O19" s="100">
        <v>452.86666666666667</v>
      </c>
      <c r="P19" s="61">
        <v>308</v>
      </c>
      <c r="Q19" s="62">
        <v>1.4703463203463203</v>
      </c>
      <c r="R19" s="106">
        <v>144.86666666666667</v>
      </c>
      <c r="S19" s="103">
        <f t="shared" si="1"/>
        <v>3559.416666666667</v>
      </c>
      <c r="T19" s="82">
        <f t="shared" si="2"/>
        <v>3522.8</v>
      </c>
      <c r="U19" s="83">
        <f t="shared" si="3"/>
        <v>1.0103941940123387</v>
      </c>
      <c r="V19" s="82">
        <f t="shared" si="4"/>
        <v>36.616666666666788</v>
      </c>
    </row>
    <row r="20" spans="1:22">
      <c r="A20" t="str">
        <f t="shared" si="0"/>
        <v>101952</v>
      </c>
      <c r="B20" s="21" t="s">
        <v>28</v>
      </c>
      <c r="C20" s="61">
        <v>1246.25</v>
      </c>
      <c r="D20" s="61">
        <v>1303</v>
      </c>
      <c r="E20" s="62">
        <v>0.95644666155026858</v>
      </c>
      <c r="F20" s="106">
        <v>-56.75</v>
      </c>
      <c r="G20" s="100">
        <v>1314</v>
      </c>
      <c r="H20" s="61">
        <v>1098.5</v>
      </c>
      <c r="I20" s="62">
        <v>1.1961766044606281</v>
      </c>
      <c r="J20" s="106">
        <v>215.5</v>
      </c>
      <c r="K20" s="100">
        <v>925.75</v>
      </c>
      <c r="L20" s="61">
        <v>924</v>
      </c>
      <c r="M20" s="62">
        <v>1.0018939393939394</v>
      </c>
      <c r="N20" s="106">
        <v>1.75</v>
      </c>
      <c r="O20" s="100">
        <v>692.16666666666663</v>
      </c>
      <c r="P20" s="61">
        <v>308</v>
      </c>
      <c r="Q20" s="62">
        <v>2.2472943722943723</v>
      </c>
      <c r="R20" s="106">
        <v>384.16666666666663</v>
      </c>
      <c r="S20" s="103">
        <f t="shared" si="1"/>
        <v>4178.1666666666661</v>
      </c>
      <c r="T20" s="82">
        <f t="shared" si="2"/>
        <v>3633.5</v>
      </c>
      <c r="U20" s="83">
        <f t="shared" si="3"/>
        <v>1.1499013806706113</v>
      </c>
      <c r="V20" s="82">
        <f t="shared" si="4"/>
        <v>544.66666666666606</v>
      </c>
    </row>
    <row r="21" spans="1:22">
      <c r="A21" t="str">
        <f t="shared" si="0"/>
        <v>101953</v>
      </c>
      <c r="B21" s="21" t="s">
        <v>26</v>
      </c>
      <c r="C21" s="61">
        <v>1227.5</v>
      </c>
      <c r="D21" s="61">
        <v>1276.25</v>
      </c>
      <c r="E21" s="62">
        <v>0.96180215475024489</v>
      </c>
      <c r="F21" s="106">
        <v>-48.75</v>
      </c>
      <c r="G21" s="100">
        <v>1036.5</v>
      </c>
      <c r="H21" s="61">
        <v>1024</v>
      </c>
      <c r="I21" s="62">
        <v>1.01220703125</v>
      </c>
      <c r="J21" s="106">
        <v>12.5</v>
      </c>
      <c r="K21" s="100">
        <v>924</v>
      </c>
      <c r="L21" s="61">
        <v>924</v>
      </c>
      <c r="M21" s="62">
        <v>1</v>
      </c>
      <c r="N21" s="106">
        <v>0</v>
      </c>
      <c r="O21" s="100">
        <v>396</v>
      </c>
      <c r="P21" s="61">
        <v>308</v>
      </c>
      <c r="Q21" s="62">
        <v>1.2857142857142858</v>
      </c>
      <c r="R21" s="106">
        <v>88</v>
      </c>
      <c r="S21" s="103">
        <f t="shared" si="1"/>
        <v>3584</v>
      </c>
      <c r="T21" s="82">
        <f t="shared" si="2"/>
        <v>3532.25</v>
      </c>
      <c r="U21" s="83">
        <f t="shared" si="3"/>
        <v>1.0146507183806355</v>
      </c>
      <c r="V21" s="82">
        <f t="shared" si="4"/>
        <v>51.75</v>
      </c>
    </row>
    <row r="22" spans="1:22">
      <c r="A22" t="str">
        <f t="shared" si="0"/>
        <v>104008</v>
      </c>
      <c r="B22" s="21" t="s">
        <v>31</v>
      </c>
      <c r="C22" s="61">
        <v>2397.75</v>
      </c>
      <c r="D22" s="61">
        <v>2367.7500000000032</v>
      </c>
      <c r="E22" s="62">
        <v>1.0126702565726942</v>
      </c>
      <c r="F22" s="106">
        <v>29.999999999996817</v>
      </c>
      <c r="G22" s="100">
        <v>1024.5</v>
      </c>
      <c r="H22" s="61">
        <v>996.5</v>
      </c>
      <c r="I22" s="62">
        <v>1.0280983442047165</v>
      </c>
      <c r="J22" s="106">
        <v>28</v>
      </c>
      <c r="K22" s="100">
        <v>1738.5</v>
      </c>
      <c r="L22" s="61">
        <v>1848</v>
      </c>
      <c r="M22" s="62">
        <v>0.94074675324675328</v>
      </c>
      <c r="N22" s="106">
        <v>-109.5</v>
      </c>
      <c r="O22" s="100">
        <v>762.75</v>
      </c>
      <c r="P22" s="61">
        <v>616</v>
      </c>
      <c r="Q22" s="62">
        <v>1.2382305194805194</v>
      </c>
      <c r="R22" s="106">
        <v>146.75</v>
      </c>
      <c r="S22" s="103">
        <f t="shared" si="1"/>
        <v>5923.5</v>
      </c>
      <c r="T22" s="82">
        <f t="shared" si="2"/>
        <v>5828.2500000000036</v>
      </c>
      <c r="U22" s="83">
        <f t="shared" si="3"/>
        <v>1.0163428130227763</v>
      </c>
      <c r="V22" s="82">
        <f t="shared" si="4"/>
        <v>95.249999999996362</v>
      </c>
    </row>
    <row r="23" spans="1:22">
      <c r="A23" t="str">
        <f t="shared" si="0"/>
        <v>104009</v>
      </c>
      <c r="B23" s="21" t="s">
        <v>32</v>
      </c>
      <c r="C23" s="61">
        <v>2186.9166666666665</v>
      </c>
      <c r="D23" s="61">
        <v>2379.8333333333298</v>
      </c>
      <c r="E23" s="63">
        <v>0.91893690034316255</v>
      </c>
      <c r="F23" s="106">
        <v>-192.91666666666333</v>
      </c>
      <c r="G23" s="100">
        <v>624.08333333333337</v>
      </c>
      <c r="H23" s="61">
        <v>662.58333333333269</v>
      </c>
      <c r="I23" s="62">
        <v>0.94189410137089769</v>
      </c>
      <c r="J23" s="106">
        <v>-38.499999999999318</v>
      </c>
      <c r="K23" s="100">
        <v>1496</v>
      </c>
      <c r="L23" s="61">
        <v>1529</v>
      </c>
      <c r="M23" s="62">
        <v>0.97841726618705038</v>
      </c>
      <c r="N23" s="106">
        <v>-33</v>
      </c>
      <c r="O23" s="100">
        <v>605</v>
      </c>
      <c r="P23" s="61">
        <v>616</v>
      </c>
      <c r="Q23" s="62">
        <v>0.9821428571428571</v>
      </c>
      <c r="R23" s="106">
        <v>-11</v>
      </c>
      <c r="S23" s="103">
        <f t="shared" si="1"/>
        <v>4912</v>
      </c>
      <c r="T23" s="82">
        <f t="shared" si="2"/>
        <v>5187.4166666666624</v>
      </c>
      <c r="U23" s="83">
        <f t="shared" si="3"/>
        <v>0.94690677761891839</v>
      </c>
      <c r="V23" s="82">
        <f t="shared" si="4"/>
        <v>-275.41666666666242</v>
      </c>
    </row>
    <row r="24" spans="1:22" s="5" customFormat="1">
      <c r="A24"/>
      <c r="B24" s="64" t="s">
        <v>271</v>
      </c>
      <c r="C24" s="65">
        <v>15312.916666666666</v>
      </c>
      <c r="D24" s="65">
        <v>16094.583333333334</v>
      </c>
      <c r="E24" s="66">
        <v>0.95143293551142971</v>
      </c>
      <c r="F24" s="107">
        <v>-781.66666666666788</v>
      </c>
      <c r="G24" s="101">
        <v>5756.3833333333332</v>
      </c>
      <c r="H24" s="65">
        <v>5664.333333333333</v>
      </c>
      <c r="I24" s="67">
        <v>1.0162508091567115</v>
      </c>
      <c r="J24" s="107">
        <v>92.050000000000182</v>
      </c>
      <c r="K24" s="101">
        <v>12635.416666666668</v>
      </c>
      <c r="L24" s="65">
        <v>13131</v>
      </c>
      <c r="M24" s="66">
        <v>0.96225852308785831</v>
      </c>
      <c r="N24" s="107">
        <v>-495.58333333333212</v>
      </c>
      <c r="O24" s="101">
        <v>3732.4166666666665</v>
      </c>
      <c r="P24" s="65">
        <v>2784.1333333333332</v>
      </c>
      <c r="Q24" s="66">
        <v>1.3406027010200661</v>
      </c>
      <c r="R24" s="107">
        <v>948.2833333333333</v>
      </c>
      <c r="S24" s="104">
        <f t="shared" si="1"/>
        <v>37437.133333333331</v>
      </c>
      <c r="T24" s="84">
        <f t="shared" si="2"/>
        <v>37674.050000000003</v>
      </c>
      <c r="U24" s="85">
        <f t="shared" si="3"/>
        <v>0.99371140966615823</v>
      </c>
      <c r="V24" s="84">
        <f t="shared" si="4"/>
        <v>-236.91666666667152</v>
      </c>
    </row>
    <row r="25" spans="1:22">
      <c r="A25" t="str">
        <f t="shared" si="0"/>
        <v>103101</v>
      </c>
      <c r="B25" s="21" t="s">
        <v>232</v>
      </c>
      <c r="C25" s="61">
        <v>1212</v>
      </c>
      <c r="D25" s="61">
        <v>1497</v>
      </c>
      <c r="E25" s="62">
        <v>0.80961923847695394</v>
      </c>
      <c r="F25" s="106">
        <v>-285</v>
      </c>
      <c r="G25" s="100">
        <v>946.5</v>
      </c>
      <c r="H25" s="61">
        <v>1085.25</v>
      </c>
      <c r="I25" s="62">
        <v>0.87214927436074641</v>
      </c>
      <c r="J25" s="106">
        <v>-138.75</v>
      </c>
      <c r="K25" s="100">
        <v>616</v>
      </c>
      <c r="L25" s="61">
        <v>616</v>
      </c>
      <c r="M25" s="62">
        <v>1</v>
      </c>
      <c r="N25" s="106">
        <v>0</v>
      </c>
      <c r="O25" s="100">
        <v>0</v>
      </c>
      <c r="P25" s="61">
        <v>0</v>
      </c>
      <c r="Q25" s="62" t="s">
        <v>234</v>
      </c>
      <c r="R25" s="106">
        <v>0</v>
      </c>
      <c r="S25" s="103">
        <f t="shared" si="1"/>
        <v>2774.5</v>
      </c>
      <c r="T25" s="82">
        <f t="shared" si="2"/>
        <v>3198.25</v>
      </c>
      <c r="U25" s="83">
        <f t="shared" si="3"/>
        <v>0.86750566716172905</v>
      </c>
      <c r="V25" s="82">
        <f t="shared" si="4"/>
        <v>-423.75</v>
      </c>
    </row>
    <row r="26" spans="1:22">
      <c r="A26" t="str">
        <f t="shared" si="0"/>
        <v>101107</v>
      </c>
      <c r="B26" s="21" t="s">
        <v>40</v>
      </c>
      <c r="C26" s="61">
        <v>6262.5</v>
      </c>
      <c r="D26" s="61">
        <v>6397.75</v>
      </c>
      <c r="E26" s="62">
        <v>0.97885975538275172</v>
      </c>
      <c r="F26" s="106">
        <v>-135.25</v>
      </c>
      <c r="G26" s="100">
        <v>697.5</v>
      </c>
      <c r="H26" s="61">
        <v>678.5</v>
      </c>
      <c r="I26" s="62">
        <v>1.0280029476787029</v>
      </c>
      <c r="J26" s="106">
        <v>19</v>
      </c>
      <c r="K26" s="100">
        <v>5779.75</v>
      </c>
      <c r="L26" s="61">
        <v>5852</v>
      </c>
      <c r="M26" s="62">
        <v>0.98765379357484617</v>
      </c>
      <c r="N26" s="106">
        <v>-72.25</v>
      </c>
      <c r="O26" s="100">
        <v>748</v>
      </c>
      <c r="P26" s="61">
        <v>616</v>
      </c>
      <c r="Q26" s="62">
        <v>1.2142857142857142</v>
      </c>
      <c r="R26" s="106">
        <v>132</v>
      </c>
      <c r="S26" s="103">
        <f t="shared" si="1"/>
        <v>13487.75</v>
      </c>
      <c r="T26" s="82">
        <f t="shared" si="2"/>
        <v>13544.25</v>
      </c>
      <c r="U26" s="83">
        <f t="shared" si="3"/>
        <v>0.99582848810380786</v>
      </c>
      <c r="V26" s="82">
        <f t="shared" si="4"/>
        <v>-56.5</v>
      </c>
    </row>
    <row r="27" spans="1:22">
      <c r="A27" t="str">
        <f t="shared" si="0"/>
        <v>101179</v>
      </c>
      <c r="B27" s="21" t="s">
        <v>44</v>
      </c>
      <c r="C27" s="61">
        <v>975</v>
      </c>
      <c r="D27" s="61">
        <v>959.25</v>
      </c>
      <c r="E27" s="62">
        <v>1.0164190774042221</v>
      </c>
      <c r="F27" s="106">
        <v>15.75</v>
      </c>
      <c r="G27" s="100">
        <v>932</v>
      </c>
      <c r="H27" s="61">
        <v>1087.25</v>
      </c>
      <c r="I27" s="62">
        <v>0.85720855369050353</v>
      </c>
      <c r="J27" s="106">
        <v>-155.25</v>
      </c>
      <c r="K27" s="100">
        <v>644</v>
      </c>
      <c r="L27" s="61">
        <v>644</v>
      </c>
      <c r="M27" s="62">
        <v>1</v>
      </c>
      <c r="N27" s="106">
        <v>0</v>
      </c>
      <c r="O27" s="100">
        <v>805</v>
      </c>
      <c r="P27" s="61">
        <v>954.5</v>
      </c>
      <c r="Q27" s="62">
        <v>0.84337349397590367</v>
      </c>
      <c r="R27" s="106">
        <v>-149.5</v>
      </c>
      <c r="S27" s="103">
        <f t="shared" si="1"/>
        <v>3356</v>
      </c>
      <c r="T27" s="82">
        <f t="shared" si="2"/>
        <v>3645</v>
      </c>
      <c r="U27" s="83">
        <f t="shared" si="3"/>
        <v>0.9207133058984911</v>
      </c>
      <c r="V27" s="82">
        <f t="shared" si="4"/>
        <v>-289</v>
      </c>
    </row>
    <row r="28" spans="1:22">
      <c r="A28" t="str">
        <f t="shared" si="0"/>
        <v>101192</v>
      </c>
      <c r="B28" s="21" t="s">
        <v>42</v>
      </c>
      <c r="C28" s="61">
        <v>1240</v>
      </c>
      <c r="D28" s="61">
        <v>1256.25</v>
      </c>
      <c r="E28" s="62">
        <v>0.98706467661691544</v>
      </c>
      <c r="F28" s="106">
        <v>-16.25</v>
      </c>
      <c r="G28" s="100">
        <v>1568</v>
      </c>
      <c r="H28" s="61">
        <v>938.5</v>
      </c>
      <c r="I28" s="62">
        <v>1.6707511987213639</v>
      </c>
      <c r="J28" s="106">
        <v>629.5</v>
      </c>
      <c r="K28" s="100">
        <v>954.5</v>
      </c>
      <c r="L28" s="61">
        <v>966</v>
      </c>
      <c r="M28" s="62">
        <v>0.98809523809523814</v>
      </c>
      <c r="N28" s="106">
        <v>-11.5</v>
      </c>
      <c r="O28" s="100">
        <v>1448</v>
      </c>
      <c r="P28" s="61">
        <v>644</v>
      </c>
      <c r="Q28" s="62">
        <v>2.2484472049689441</v>
      </c>
      <c r="R28" s="106">
        <v>804</v>
      </c>
      <c r="S28" s="103">
        <f t="shared" si="1"/>
        <v>5210.5</v>
      </c>
      <c r="T28" s="82">
        <f t="shared" si="2"/>
        <v>3804.75</v>
      </c>
      <c r="U28" s="83">
        <f t="shared" si="3"/>
        <v>1.3694723700637361</v>
      </c>
      <c r="V28" s="82">
        <f t="shared" si="4"/>
        <v>1405.75</v>
      </c>
    </row>
    <row r="29" spans="1:22">
      <c r="A29" t="str">
        <f t="shared" si="0"/>
        <v>101193</v>
      </c>
      <c r="B29" s="21" t="s">
        <v>43</v>
      </c>
      <c r="C29" s="61">
        <v>1754</v>
      </c>
      <c r="D29" s="61">
        <v>1848</v>
      </c>
      <c r="E29" s="62">
        <v>0.94913419913419916</v>
      </c>
      <c r="F29" s="106">
        <v>-94</v>
      </c>
      <c r="G29" s="100">
        <v>993.8</v>
      </c>
      <c r="H29" s="61">
        <v>962</v>
      </c>
      <c r="I29" s="62">
        <v>1.033056133056133</v>
      </c>
      <c r="J29" s="106">
        <v>31.799999999999955</v>
      </c>
      <c r="K29" s="100">
        <v>1265.5</v>
      </c>
      <c r="L29" s="61">
        <v>1283.0166666666701</v>
      </c>
      <c r="M29" s="62">
        <v>0.98634728049778264</v>
      </c>
      <c r="N29" s="106">
        <v>-17.516666666670062</v>
      </c>
      <c r="O29" s="100">
        <v>678.5</v>
      </c>
      <c r="P29" s="61">
        <v>644</v>
      </c>
      <c r="Q29" s="62">
        <v>1.0535714285714286</v>
      </c>
      <c r="R29" s="106">
        <v>34.5</v>
      </c>
      <c r="S29" s="103">
        <f t="shared" si="1"/>
        <v>4691.8</v>
      </c>
      <c r="T29" s="82">
        <f t="shared" si="2"/>
        <v>4737.0166666666701</v>
      </c>
      <c r="U29" s="83">
        <f t="shared" si="3"/>
        <v>0.99045461102451893</v>
      </c>
      <c r="V29" s="82">
        <f t="shared" si="4"/>
        <v>-45.21666666666988</v>
      </c>
    </row>
    <row r="30" spans="1:22">
      <c r="A30" t="str">
        <f t="shared" si="0"/>
        <v>101189</v>
      </c>
      <c r="B30" s="21" t="s">
        <v>39</v>
      </c>
      <c r="C30" s="61">
        <v>1883.5</v>
      </c>
      <c r="D30" s="61">
        <v>2071.25</v>
      </c>
      <c r="E30" s="62">
        <v>0.90935425467712738</v>
      </c>
      <c r="F30" s="106">
        <v>-187.75</v>
      </c>
      <c r="G30" s="100">
        <v>1185.25</v>
      </c>
      <c r="H30" s="61">
        <v>1150</v>
      </c>
      <c r="I30" s="62">
        <v>1.0306521739130434</v>
      </c>
      <c r="J30" s="106">
        <v>35.25</v>
      </c>
      <c r="K30" s="100">
        <v>1575</v>
      </c>
      <c r="L30" s="61">
        <v>1610</v>
      </c>
      <c r="M30" s="62">
        <v>0.97826086956521741</v>
      </c>
      <c r="N30" s="106">
        <v>-35</v>
      </c>
      <c r="O30" s="100">
        <v>1257</v>
      </c>
      <c r="P30" s="61">
        <v>1288</v>
      </c>
      <c r="Q30" s="62">
        <v>0.97593167701863359</v>
      </c>
      <c r="R30" s="106">
        <v>-31</v>
      </c>
      <c r="S30" s="103">
        <f t="shared" si="1"/>
        <v>5900.75</v>
      </c>
      <c r="T30" s="82">
        <f t="shared" si="2"/>
        <v>6119.25</v>
      </c>
      <c r="U30" s="83">
        <f t="shared" si="3"/>
        <v>0.96429300976426846</v>
      </c>
      <c r="V30" s="82">
        <f t="shared" si="4"/>
        <v>-218.5</v>
      </c>
    </row>
    <row r="31" spans="1:22">
      <c r="A31" t="str">
        <f t="shared" si="0"/>
        <v>101190</v>
      </c>
      <c r="B31" s="21" t="s">
        <v>41</v>
      </c>
      <c r="C31" s="61">
        <v>1911.75</v>
      </c>
      <c r="D31" s="61">
        <v>1936.5</v>
      </c>
      <c r="E31" s="62">
        <v>0.98721920991479473</v>
      </c>
      <c r="F31" s="106">
        <v>-24.75</v>
      </c>
      <c r="G31" s="100">
        <v>1443.4166666666667</v>
      </c>
      <c r="H31" s="61">
        <v>1279.5</v>
      </c>
      <c r="I31" s="62">
        <v>1.1281099387781686</v>
      </c>
      <c r="J31" s="106">
        <v>163.91666666666674</v>
      </c>
      <c r="K31" s="100">
        <v>1598.5</v>
      </c>
      <c r="L31" s="61">
        <v>1610</v>
      </c>
      <c r="M31" s="62">
        <v>0.99285714285714288</v>
      </c>
      <c r="N31" s="106">
        <v>-11.5</v>
      </c>
      <c r="O31" s="100">
        <v>1539</v>
      </c>
      <c r="P31" s="61">
        <v>1288</v>
      </c>
      <c r="Q31" s="62">
        <v>1.1948757763975155</v>
      </c>
      <c r="R31" s="106">
        <v>251</v>
      </c>
      <c r="S31" s="103">
        <f t="shared" si="1"/>
        <v>6492.666666666667</v>
      </c>
      <c r="T31" s="82">
        <f t="shared" si="2"/>
        <v>6114</v>
      </c>
      <c r="U31" s="83">
        <f t="shared" si="3"/>
        <v>1.0619343583033476</v>
      </c>
      <c r="V31" s="82">
        <f t="shared" si="4"/>
        <v>378.66666666666697</v>
      </c>
    </row>
    <row r="32" spans="1:22" s="5" customFormat="1">
      <c r="A32"/>
      <c r="B32" s="64" t="s">
        <v>52</v>
      </c>
      <c r="C32" s="65">
        <v>15238.75</v>
      </c>
      <c r="D32" s="65">
        <v>15966</v>
      </c>
      <c r="E32" s="66">
        <v>0.9544500814230239</v>
      </c>
      <c r="F32" s="107">
        <v>-727.25</v>
      </c>
      <c r="G32" s="101">
        <v>7766.4666666666672</v>
      </c>
      <c r="H32" s="65">
        <v>7181</v>
      </c>
      <c r="I32" s="67">
        <v>1.0815299633291557</v>
      </c>
      <c r="J32" s="107">
        <v>585.46666666666715</v>
      </c>
      <c r="K32" s="101">
        <v>12433.25</v>
      </c>
      <c r="L32" s="65">
        <v>12581.01666666667</v>
      </c>
      <c r="M32" s="66">
        <v>0.98825479127945381</v>
      </c>
      <c r="N32" s="107">
        <v>-147.76666666667006</v>
      </c>
      <c r="O32" s="101">
        <v>6475.5</v>
      </c>
      <c r="P32" s="65">
        <v>5434.5</v>
      </c>
      <c r="Q32" s="66">
        <v>1.191553960805962</v>
      </c>
      <c r="R32" s="107">
        <v>1041</v>
      </c>
      <c r="S32" s="104">
        <f t="shared" si="1"/>
        <v>41913.966666666667</v>
      </c>
      <c r="T32" s="84">
        <f t="shared" si="2"/>
        <v>41162.51666666667</v>
      </c>
      <c r="U32" s="85">
        <f t="shared" si="3"/>
        <v>1.018255686504429</v>
      </c>
      <c r="V32" s="84">
        <f t="shared" si="4"/>
        <v>751.44999999999709</v>
      </c>
    </row>
    <row r="33" spans="1:22">
      <c r="A33" t="str">
        <f t="shared" si="0"/>
        <v>102043</v>
      </c>
      <c r="B33" s="21" t="s">
        <v>235</v>
      </c>
      <c r="C33" s="61">
        <v>4934.5</v>
      </c>
      <c r="D33" s="61">
        <v>5507</v>
      </c>
      <c r="E33" s="63">
        <v>0.89604140185218817</v>
      </c>
      <c r="F33" s="106">
        <v>-572.5</v>
      </c>
      <c r="G33" s="100">
        <v>265.5</v>
      </c>
      <c r="H33" s="61">
        <v>660</v>
      </c>
      <c r="I33" s="62">
        <v>0.40227272727272728</v>
      </c>
      <c r="J33" s="106">
        <v>-394.5</v>
      </c>
      <c r="K33" s="100">
        <v>4884.5</v>
      </c>
      <c r="L33" s="61">
        <v>5474</v>
      </c>
      <c r="M33" s="63">
        <v>0.89230909755206433</v>
      </c>
      <c r="N33" s="106">
        <v>-589.5</v>
      </c>
      <c r="O33" s="100">
        <v>172.5</v>
      </c>
      <c r="P33" s="61">
        <v>644</v>
      </c>
      <c r="Q33" s="62">
        <v>0.26785714285714285</v>
      </c>
      <c r="R33" s="106">
        <v>-471.5</v>
      </c>
      <c r="S33" s="103">
        <f t="shared" si="1"/>
        <v>10257</v>
      </c>
      <c r="T33" s="82">
        <f t="shared" si="2"/>
        <v>12285</v>
      </c>
      <c r="U33" s="83">
        <f t="shared" si="3"/>
        <v>0.83492063492063495</v>
      </c>
      <c r="V33" s="82">
        <f t="shared" si="4"/>
        <v>-2028</v>
      </c>
    </row>
    <row r="34" spans="1:22">
      <c r="A34" t="str">
        <f t="shared" si="0"/>
        <v>102251</v>
      </c>
      <c r="B34" s="21" t="s">
        <v>236</v>
      </c>
      <c r="C34" s="61">
        <v>3697</v>
      </c>
      <c r="D34" s="61">
        <v>3871</v>
      </c>
      <c r="E34" s="63">
        <v>0.9550503745802118</v>
      </c>
      <c r="F34" s="106">
        <v>-174</v>
      </c>
      <c r="G34" s="100">
        <v>395.66666666666669</v>
      </c>
      <c r="H34" s="61">
        <v>308.66666666666669</v>
      </c>
      <c r="I34" s="62">
        <v>1.2818574514038876</v>
      </c>
      <c r="J34" s="106">
        <v>87</v>
      </c>
      <c r="K34" s="100">
        <v>3683.0166666666669</v>
      </c>
      <c r="L34" s="61">
        <v>4074</v>
      </c>
      <c r="M34" s="63">
        <v>0.90402961872034038</v>
      </c>
      <c r="N34" s="106">
        <v>-390.98333333333312</v>
      </c>
      <c r="O34" s="100">
        <v>478.01666666666665</v>
      </c>
      <c r="P34" s="61">
        <v>322</v>
      </c>
      <c r="Q34" s="62">
        <v>1.4845238095238096</v>
      </c>
      <c r="R34" s="106">
        <v>156.01666666666665</v>
      </c>
      <c r="S34" s="103">
        <f t="shared" si="1"/>
        <v>8253.7000000000007</v>
      </c>
      <c r="T34" s="82">
        <f t="shared" si="2"/>
        <v>8575.6666666666679</v>
      </c>
      <c r="U34" s="83">
        <f t="shared" si="3"/>
        <v>0.96245578575037893</v>
      </c>
      <c r="V34" s="82">
        <f t="shared" si="4"/>
        <v>-321.96666666666715</v>
      </c>
    </row>
    <row r="35" spans="1:22">
      <c r="A35" t="str">
        <f t="shared" si="0"/>
        <v>102041</v>
      </c>
      <c r="B35" s="21" t="s">
        <v>237</v>
      </c>
      <c r="C35" s="61">
        <v>1984</v>
      </c>
      <c r="D35" s="61">
        <v>2129</v>
      </c>
      <c r="E35" s="63">
        <v>0.93189290746829501</v>
      </c>
      <c r="F35" s="106">
        <v>-145</v>
      </c>
      <c r="G35" s="100">
        <v>348</v>
      </c>
      <c r="H35" s="61">
        <v>322.5</v>
      </c>
      <c r="I35" s="62">
        <v>1.0790697674418606</v>
      </c>
      <c r="J35" s="106">
        <v>25.5</v>
      </c>
      <c r="K35" s="100">
        <v>1508.75</v>
      </c>
      <c r="L35" s="61">
        <v>1511</v>
      </c>
      <c r="M35" s="63">
        <v>0.99851091992058238</v>
      </c>
      <c r="N35" s="106">
        <v>-2.25</v>
      </c>
      <c r="O35" s="100">
        <v>322</v>
      </c>
      <c r="P35" s="61">
        <v>322</v>
      </c>
      <c r="Q35" s="62">
        <v>1</v>
      </c>
      <c r="R35" s="106">
        <v>0</v>
      </c>
      <c r="S35" s="103">
        <f t="shared" si="1"/>
        <v>4162.75</v>
      </c>
      <c r="T35" s="82">
        <f t="shared" si="2"/>
        <v>4284.5</v>
      </c>
      <c r="U35" s="83">
        <f t="shared" si="3"/>
        <v>0.97158361535768467</v>
      </c>
      <c r="V35" s="82">
        <f t="shared" si="4"/>
        <v>-121.75</v>
      </c>
    </row>
    <row r="36" spans="1:22">
      <c r="A36" t="str">
        <f t="shared" si="0"/>
        <v>102033</v>
      </c>
      <c r="B36" s="21" t="s">
        <v>238</v>
      </c>
      <c r="C36" s="61">
        <v>1669.25</v>
      </c>
      <c r="D36" s="61">
        <v>1929.75</v>
      </c>
      <c r="E36" s="63">
        <v>0.86500842077989382</v>
      </c>
      <c r="F36" s="106">
        <v>-260.5</v>
      </c>
      <c r="G36" s="100">
        <v>346.75</v>
      </c>
      <c r="H36" s="61">
        <v>322.5</v>
      </c>
      <c r="I36" s="62">
        <v>1.0751937984496125</v>
      </c>
      <c r="J36" s="106">
        <v>24.25</v>
      </c>
      <c r="K36" s="100">
        <v>1466</v>
      </c>
      <c r="L36" s="61">
        <v>1610</v>
      </c>
      <c r="M36" s="63">
        <v>0.91055900621118013</v>
      </c>
      <c r="N36" s="106">
        <v>-144</v>
      </c>
      <c r="O36" s="100">
        <v>253</v>
      </c>
      <c r="P36" s="61">
        <v>322</v>
      </c>
      <c r="Q36" s="62">
        <v>0.7857142857142857</v>
      </c>
      <c r="R36" s="106">
        <v>-69</v>
      </c>
      <c r="S36" s="103">
        <f t="shared" si="1"/>
        <v>3735</v>
      </c>
      <c r="T36" s="82">
        <f t="shared" si="2"/>
        <v>4184.25</v>
      </c>
      <c r="U36" s="83">
        <f t="shared" si="3"/>
        <v>0.89263308836709088</v>
      </c>
      <c r="V36" s="82">
        <f t="shared" si="4"/>
        <v>-449.25</v>
      </c>
    </row>
    <row r="37" spans="1:22">
      <c r="A37" t="str">
        <f t="shared" si="0"/>
        <v>102262</v>
      </c>
      <c r="B37" s="21" t="s">
        <v>239</v>
      </c>
      <c r="C37" s="61">
        <v>1550</v>
      </c>
      <c r="D37" s="61">
        <v>1596</v>
      </c>
      <c r="E37" s="62">
        <v>0.97117794486215536</v>
      </c>
      <c r="F37" s="106">
        <v>-46</v>
      </c>
      <c r="G37" s="100">
        <v>276</v>
      </c>
      <c r="H37" s="61">
        <v>322</v>
      </c>
      <c r="I37" s="62">
        <v>0.8571428571428571</v>
      </c>
      <c r="J37" s="106">
        <v>-46</v>
      </c>
      <c r="K37" s="100">
        <v>1529.5</v>
      </c>
      <c r="L37" s="61">
        <v>1610</v>
      </c>
      <c r="M37" s="63">
        <v>0.95</v>
      </c>
      <c r="N37" s="106">
        <v>-80.5</v>
      </c>
      <c r="O37" s="100">
        <v>310.5</v>
      </c>
      <c r="P37" s="61">
        <v>322</v>
      </c>
      <c r="Q37" s="62">
        <v>0.9642857142857143</v>
      </c>
      <c r="R37" s="106">
        <v>-11.5</v>
      </c>
      <c r="S37" s="103">
        <f t="shared" si="1"/>
        <v>3666</v>
      </c>
      <c r="T37" s="82">
        <f t="shared" si="2"/>
        <v>3850</v>
      </c>
      <c r="U37" s="83">
        <f t="shared" si="3"/>
        <v>0.95220779220779217</v>
      </c>
      <c r="V37" s="82">
        <f t="shared" si="4"/>
        <v>-184</v>
      </c>
    </row>
    <row r="38" spans="1:22">
      <c r="A38" t="str">
        <f t="shared" si="0"/>
        <v>102260</v>
      </c>
      <c r="B38" s="21" t="s">
        <v>240</v>
      </c>
      <c r="C38" s="61">
        <v>2163.25</v>
      </c>
      <c r="D38" s="61">
        <v>2249.5</v>
      </c>
      <c r="E38" s="62">
        <v>0.96165814625472323</v>
      </c>
      <c r="F38" s="106">
        <v>-86.25</v>
      </c>
      <c r="G38" s="100">
        <v>300</v>
      </c>
      <c r="H38" s="61">
        <v>324</v>
      </c>
      <c r="I38" s="62">
        <v>0.92592592592592593</v>
      </c>
      <c r="J38" s="106">
        <v>-24</v>
      </c>
      <c r="K38" s="100">
        <v>1851.5</v>
      </c>
      <c r="L38" s="61">
        <v>1932</v>
      </c>
      <c r="M38" s="62">
        <v>0.95833333333333337</v>
      </c>
      <c r="N38" s="106">
        <v>-80.5</v>
      </c>
      <c r="O38" s="100">
        <v>276</v>
      </c>
      <c r="P38" s="61">
        <v>322</v>
      </c>
      <c r="Q38" s="62">
        <v>0.8571428571428571</v>
      </c>
      <c r="R38" s="106">
        <v>-46</v>
      </c>
      <c r="S38" s="103">
        <f t="shared" si="1"/>
        <v>4590.75</v>
      </c>
      <c r="T38" s="82">
        <f t="shared" si="2"/>
        <v>4827.5</v>
      </c>
      <c r="U38" s="83">
        <f t="shared" si="3"/>
        <v>0.95095805282237178</v>
      </c>
      <c r="V38" s="82">
        <f t="shared" si="4"/>
        <v>-236.75</v>
      </c>
    </row>
    <row r="39" spans="1:22">
      <c r="A39" t="str">
        <f t="shared" si="0"/>
        <v>102034</v>
      </c>
      <c r="B39" s="21" t="s">
        <v>241</v>
      </c>
      <c r="C39" s="61">
        <v>1401.0333333333333</v>
      </c>
      <c r="D39" s="61">
        <v>1289.5</v>
      </c>
      <c r="E39" s="62">
        <v>1.0864934729223212</v>
      </c>
      <c r="F39" s="106">
        <v>111.5333333333333</v>
      </c>
      <c r="G39" s="100">
        <v>593.5</v>
      </c>
      <c r="H39" s="61">
        <v>301.5</v>
      </c>
      <c r="I39" s="62">
        <v>1.9684908789386402</v>
      </c>
      <c r="J39" s="106">
        <v>292</v>
      </c>
      <c r="K39" s="100">
        <v>1421.7666666666667</v>
      </c>
      <c r="L39" s="61">
        <v>1288</v>
      </c>
      <c r="M39" s="62">
        <v>1.1038561076604554</v>
      </c>
      <c r="N39" s="106">
        <v>133.76666666666665</v>
      </c>
      <c r="O39" s="100">
        <v>516.5</v>
      </c>
      <c r="P39" s="61">
        <v>322</v>
      </c>
      <c r="Q39" s="62">
        <v>1.6040372670807452</v>
      </c>
      <c r="R39" s="106">
        <v>194.5</v>
      </c>
      <c r="S39" s="103">
        <f t="shared" si="1"/>
        <v>3932.7999999999997</v>
      </c>
      <c r="T39" s="82">
        <f t="shared" si="2"/>
        <v>3201</v>
      </c>
      <c r="U39" s="83">
        <f t="shared" si="3"/>
        <v>1.2286160574820368</v>
      </c>
      <c r="V39" s="82">
        <f t="shared" si="4"/>
        <v>731.79999999999973</v>
      </c>
    </row>
    <row r="40" spans="1:22">
      <c r="A40" t="str">
        <f t="shared" si="0"/>
        <v>102240</v>
      </c>
      <c r="B40" s="21" t="s">
        <v>242</v>
      </c>
      <c r="C40" s="61">
        <v>971.83333333333337</v>
      </c>
      <c r="D40" s="61">
        <v>949.5</v>
      </c>
      <c r="E40" s="62">
        <v>1.0235211514832367</v>
      </c>
      <c r="F40" s="106">
        <v>22.333333333333371</v>
      </c>
      <c r="G40" s="100">
        <v>87.75</v>
      </c>
      <c r="H40" s="61">
        <v>0</v>
      </c>
      <c r="I40" s="62">
        <v>1</v>
      </c>
      <c r="J40" s="106">
        <v>87.75</v>
      </c>
      <c r="K40" s="100">
        <v>994.75</v>
      </c>
      <c r="L40" s="61">
        <v>966</v>
      </c>
      <c r="M40" s="62">
        <v>1.0297619047619047</v>
      </c>
      <c r="N40" s="106">
        <v>28.75</v>
      </c>
      <c r="O40" s="100">
        <v>90</v>
      </c>
      <c r="P40" s="61">
        <v>0</v>
      </c>
      <c r="Q40" s="62">
        <v>1</v>
      </c>
      <c r="R40" s="106">
        <v>90</v>
      </c>
      <c r="S40" s="103">
        <f t="shared" si="1"/>
        <v>2144.3333333333335</v>
      </c>
      <c r="T40" s="82">
        <f t="shared" si="2"/>
        <v>1915.5</v>
      </c>
      <c r="U40" s="83">
        <f t="shared" si="3"/>
        <v>1.119464021578352</v>
      </c>
      <c r="V40" s="82">
        <f t="shared" si="4"/>
        <v>228.83333333333348</v>
      </c>
    </row>
    <row r="41" spans="1:22">
      <c r="A41" t="str">
        <f t="shared" si="0"/>
        <v>102266</v>
      </c>
      <c r="B41" s="21" t="s">
        <v>243</v>
      </c>
      <c r="C41" s="61">
        <v>1831.4166666666667</v>
      </c>
      <c r="D41" s="61">
        <v>1920.5</v>
      </c>
      <c r="E41" s="62">
        <v>0.95361451011021436</v>
      </c>
      <c r="F41" s="106">
        <v>-89.083333333333258</v>
      </c>
      <c r="G41" s="100">
        <v>679</v>
      </c>
      <c r="H41" s="61">
        <v>644</v>
      </c>
      <c r="I41" s="62">
        <v>1.0543478260869565</v>
      </c>
      <c r="J41" s="106">
        <v>35</v>
      </c>
      <c r="K41" s="100">
        <v>1864.5</v>
      </c>
      <c r="L41" s="61">
        <v>1932</v>
      </c>
      <c r="M41" s="62">
        <v>0.96506211180124224</v>
      </c>
      <c r="N41" s="106">
        <v>-67.5</v>
      </c>
      <c r="O41" s="100">
        <v>621.25</v>
      </c>
      <c r="P41" s="61">
        <v>644</v>
      </c>
      <c r="Q41" s="62">
        <v>0.96467391304347827</v>
      </c>
      <c r="R41" s="106">
        <v>-22.75</v>
      </c>
      <c r="S41" s="103">
        <f t="shared" si="1"/>
        <v>4996.166666666667</v>
      </c>
      <c r="T41" s="82">
        <f t="shared" si="2"/>
        <v>5140.5</v>
      </c>
      <c r="U41" s="83">
        <f t="shared" si="3"/>
        <v>0.97192231624679837</v>
      </c>
      <c r="V41" s="82">
        <f t="shared" si="4"/>
        <v>-144.33333333333303</v>
      </c>
    </row>
    <row r="42" spans="1:22" s="5" customFormat="1">
      <c r="A42"/>
      <c r="B42" s="64" t="s">
        <v>272</v>
      </c>
      <c r="C42" s="65">
        <v>20202.283333333333</v>
      </c>
      <c r="D42" s="65">
        <v>21441.75</v>
      </c>
      <c r="E42" s="66">
        <v>0.9421937730517953</v>
      </c>
      <c r="F42" s="107">
        <v>-1239.4666666666672</v>
      </c>
      <c r="G42" s="101">
        <v>3292.166666666667</v>
      </c>
      <c r="H42" s="65">
        <v>3205.166666666667</v>
      </c>
      <c r="I42" s="67">
        <v>1.0271436742759086</v>
      </c>
      <c r="J42" s="107">
        <v>87</v>
      </c>
      <c r="K42" s="101">
        <v>31637.533333333333</v>
      </c>
      <c r="L42" s="65">
        <v>32978.01666666667</v>
      </c>
      <c r="M42" s="66">
        <v>0.95935221493510059</v>
      </c>
      <c r="N42" s="107">
        <v>-1340.4833333333372</v>
      </c>
      <c r="O42" s="101">
        <v>3039.7666666666664</v>
      </c>
      <c r="P42" s="65">
        <v>3220</v>
      </c>
      <c r="Q42" s="66">
        <v>0.9440269151138716</v>
      </c>
      <c r="R42" s="107">
        <v>-180.23333333333358</v>
      </c>
      <c r="S42" s="104">
        <f t="shared" si="1"/>
        <v>58171.75</v>
      </c>
      <c r="T42" s="84">
        <f t="shared" si="2"/>
        <v>60844.933333333334</v>
      </c>
      <c r="U42" s="85">
        <f t="shared" si="3"/>
        <v>0.95606563789480137</v>
      </c>
      <c r="V42" s="84">
        <f t="shared" si="4"/>
        <v>-2673.1833333333343</v>
      </c>
    </row>
    <row r="43" spans="1:22">
      <c r="A43" t="str">
        <f t="shared" si="0"/>
        <v>102177</v>
      </c>
      <c r="B43" s="21" t="s">
        <v>36</v>
      </c>
      <c r="C43" s="61">
        <v>636</v>
      </c>
      <c r="D43" s="61">
        <v>681</v>
      </c>
      <c r="E43" s="62">
        <v>0.93392070484581502</v>
      </c>
      <c r="F43" s="106">
        <v>-45</v>
      </c>
      <c r="G43" s="100">
        <v>0</v>
      </c>
      <c r="H43" s="61">
        <v>0</v>
      </c>
      <c r="I43" s="62" t="s">
        <v>234</v>
      </c>
      <c r="J43" s="106">
        <v>0</v>
      </c>
      <c r="K43" s="100">
        <v>636</v>
      </c>
      <c r="L43" s="61">
        <v>672</v>
      </c>
      <c r="M43" s="62">
        <v>0.9464285714285714</v>
      </c>
      <c r="N43" s="106">
        <v>-36</v>
      </c>
      <c r="O43" s="100">
        <v>0</v>
      </c>
      <c r="P43" s="61">
        <v>0</v>
      </c>
      <c r="Q43" s="62" t="s">
        <v>234</v>
      </c>
      <c r="R43" s="106">
        <v>0</v>
      </c>
      <c r="S43" s="103">
        <f t="shared" si="1"/>
        <v>1272</v>
      </c>
      <c r="T43" s="82">
        <f t="shared" si="2"/>
        <v>1353</v>
      </c>
      <c r="U43" s="83">
        <f t="shared" si="3"/>
        <v>0.94013303769401335</v>
      </c>
      <c r="V43" s="82">
        <f t="shared" si="4"/>
        <v>-81</v>
      </c>
    </row>
    <row r="44" spans="1:22" s="69" customFormat="1">
      <c r="A44" t="str">
        <f t="shared" si="0"/>
        <v>102074</v>
      </c>
      <c r="B44" s="21" t="s">
        <v>35</v>
      </c>
      <c r="C44" s="61">
        <v>1987.5</v>
      </c>
      <c r="D44" s="61">
        <v>2455</v>
      </c>
      <c r="E44" s="62">
        <v>0.80957230142566194</v>
      </c>
      <c r="F44" s="106">
        <v>-467.5</v>
      </c>
      <c r="G44" s="100">
        <v>840.5</v>
      </c>
      <c r="H44" s="61">
        <v>1066.5</v>
      </c>
      <c r="I44" s="62">
        <v>0.78809188935771213</v>
      </c>
      <c r="J44" s="106">
        <v>-226</v>
      </c>
      <c r="K44" s="100">
        <v>2028</v>
      </c>
      <c r="L44" s="61">
        <v>2352</v>
      </c>
      <c r="M44" s="62">
        <v>0.86224489795918369</v>
      </c>
      <c r="N44" s="106">
        <v>-324</v>
      </c>
      <c r="O44" s="100">
        <v>564</v>
      </c>
      <c r="P44" s="61">
        <v>672</v>
      </c>
      <c r="Q44" s="62">
        <v>0.8392857142857143</v>
      </c>
      <c r="R44" s="106">
        <v>-108</v>
      </c>
      <c r="S44" s="103">
        <f t="shared" si="1"/>
        <v>5420</v>
      </c>
      <c r="T44" s="82">
        <f t="shared" si="2"/>
        <v>6545.5</v>
      </c>
      <c r="U44" s="83">
        <f t="shared" si="3"/>
        <v>0.82804980520968607</v>
      </c>
      <c r="V44" s="82">
        <f t="shared" si="4"/>
        <v>-1125.5</v>
      </c>
    </row>
    <row r="45" spans="1:22">
      <c r="A45" t="str">
        <f t="shared" si="0"/>
        <v>102077</v>
      </c>
      <c r="B45" s="21" t="s">
        <v>38</v>
      </c>
      <c r="C45" s="61">
        <v>4670.25</v>
      </c>
      <c r="D45" s="61">
        <v>5165.5</v>
      </c>
      <c r="E45" s="63">
        <v>0.90412351176072014</v>
      </c>
      <c r="F45" s="106">
        <v>-495.25</v>
      </c>
      <c r="G45" s="100">
        <v>582</v>
      </c>
      <c r="H45" s="61">
        <v>985.5</v>
      </c>
      <c r="I45" s="62">
        <v>0.59056316590563163</v>
      </c>
      <c r="J45" s="106">
        <v>-403.5</v>
      </c>
      <c r="K45" s="100">
        <v>4956.25</v>
      </c>
      <c r="L45" s="61">
        <v>5175</v>
      </c>
      <c r="M45" s="62">
        <v>0.95772946859903385</v>
      </c>
      <c r="N45" s="106">
        <v>-218.75</v>
      </c>
      <c r="O45" s="100">
        <v>506</v>
      </c>
      <c r="P45" s="61">
        <v>966</v>
      </c>
      <c r="Q45" s="62">
        <v>0.52380952380952384</v>
      </c>
      <c r="R45" s="106">
        <v>-460</v>
      </c>
      <c r="S45" s="103">
        <f t="shared" si="1"/>
        <v>10714.5</v>
      </c>
      <c r="T45" s="82">
        <f t="shared" si="2"/>
        <v>12292</v>
      </c>
      <c r="U45" s="83">
        <f t="shared" si="3"/>
        <v>0.87166449723397332</v>
      </c>
      <c r="V45" s="82">
        <f t="shared" si="4"/>
        <v>-1577.5</v>
      </c>
    </row>
    <row r="46" spans="1:22">
      <c r="A46" t="str">
        <f t="shared" si="0"/>
        <v>102075</v>
      </c>
      <c r="B46" s="21" t="s">
        <v>33</v>
      </c>
      <c r="C46" s="61">
        <v>1080.75</v>
      </c>
      <c r="D46" s="61">
        <v>967.5</v>
      </c>
      <c r="E46" s="62">
        <v>1.1170542635658915</v>
      </c>
      <c r="F46" s="106">
        <v>113.25</v>
      </c>
      <c r="G46" s="100">
        <v>442.5</v>
      </c>
      <c r="H46" s="61">
        <v>607.5</v>
      </c>
      <c r="I46" s="62">
        <v>0.72839506172839508</v>
      </c>
      <c r="J46" s="106">
        <v>-165</v>
      </c>
      <c r="K46" s="100">
        <v>600.5</v>
      </c>
      <c r="L46" s="61">
        <v>658</v>
      </c>
      <c r="M46" s="62">
        <v>0.91261398176291797</v>
      </c>
      <c r="N46" s="106">
        <v>-57.5</v>
      </c>
      <c r="O46" s="100">
        <v>345.5</v>
      </c>
      <c r="P46" s="61">
        <v>576</v>
      </c>
      <c r="Q46" s="62">
        <v>0.59982638888888884</v>
      </c>
      <c r="R46" s="106">
        <v>-230.5</v>
      </c>
      <c r="S46" s="103">
        <f t="shared" si="1"/>
        <v>2469.25</v>
      </c>
      <c r="T46" s="82">
        <f t="shared" si="2"/>
        <v>2809</v>
      </c>
      <c r="U46" s="83">
        <f t="shared" si="3"/>
        <v>0.87904948380206482</v>
      </c>
      <c r="V46" s="82">
        <f t="shared" si="4"/>
        <v>-339.75</v>
      </c>
    </row>
    <row r="47" spans="1:22">
      <c r="A47" t="str">
        <f t="shared" si="0"/>
        <v>102068</v>
      </c>
      <c r="B47" s="21" t="s">
        <v>34</v>
      </c>
      <c r="C47" s="61">
        <v>3254.5</v>
      </c>
      <c r="D47" s="61">
        <v>3346</v>
      </c>
      <c r="E47" s="62">
        <v>0.97265391512253441</v>
      </c>
      <c r="F47" s="106">
        <v>-91.5</v>
      </c>
      <c r="G47" s="100">
        <v>563.5</v>
      </c>
      <c r="H47" s="61">
        <v>698.5</v>
      </c>
      <c r="I47" s="62">
        <v>0.80672870436649968</v>
      </c>
      <c r="J47" s="106">
        <v>-135</v>
      </c>
      <c r="K47" s="100">
        <v>2941.5</v>
      </c>
      <c r="L47" s="61">
        <v>3024</v>
      </c>
      <c r="M47" s="62">
        <v>0.97271825396825395</v>
      </c>
      <c r="N47" s="106">
        <v>-82.5</v>
      </c>
      <c r="O47" s="100">
        <v>597</v>
      </c>
      <c r="P47" s="61">
        <v>672</v>
      </c>
      <c r="Q47" s="62">
        <v>0.8883928571428571</v>
      </c>
      <c r="R47" s="106">
        <v>-75</v>
      </c>
      <c r="S47" s="103">
        <f t="shared" si="1"/>
        <v>7356.5</v>
      </c>
      <c r="T47" s="82">
        <f t="shared" si="2"/>
        <v>7740.5</v>
      </c>
      <c r="U47" s="83">
        <f t="shared" si="3"/>
        <v>0.95039080162780187</v>
      </c>
      <c r="V47" s="82">
        <f t="shared" si="4"/>
        <v>-384</v>
      </c>
    </row>
    <row r="48" spans="1:22" s="5" customFormat="1">
      <c r="A48" t="str">
        <f t="shared" si="0"/>
        <v>102078</v>
      </c>
      <c r="B48" s="21" t="s">
        <v>37</v>
      </c>
      <c r="C48" s="61">
        <v>1038.75</v>
      </c>
      <c r="D48" s="61">
        <v>1153.5</v>
      </c>
      <c r="E48" s="62">
        <v>0.90052015604681401</v>
      </c>
      <c r="F48" s="106">
        <v>-114.75</v>
      </c>
      <c r="G48" s="100">
        <v>686.5</v>
      </c>
      <c r="H48" s="61">
        <v>851.25</v>
      </c>
      <c r="I48" s="62">
        <v>0.8064610866372981</v>
      </c>
      <c r="J48" s="106">
        <v>-164.75</v>
      </c>
      <c r="K48" s="100">
        <v>726</v>
      </c>
      <c r="L48" s="61">
        <v>748</v>
      </c>
      <c r="M48" s="62">
        <v>0.97058823529411764</v>
      </c>
      <c r="N48" s="106">
        <v>-22</v>
      </c>
      <c r="O48" s="100">
        <v>517</v>
      </c>
      <c r="P48" s="61">
        <v>527.25</v>
      </c>
      <c r="Q48" s="62">
        <v>0.98055950687529636</v>
      </c>
      <c r="R48" s="106">
        <v>-10.25</v>
      </c>
      <c r="S48" s="103">
        <f t="shared" si="1"/>
        <v>2968.25</v>
      </c>
      <c r="T48" s="82">
        <f t="shared" si="2"/>
        <v>3280</v>
      </c>
      <c r="U48" s="83">
        <f t="shared" si="3"/>
        <v>0.90495426829268288</v>
      </c>
      <c r="V48" s="82">
        <f t="shared" si="4"/>
        <v>-311.75</v>
      </c>
    </row>
    <row r="49" spans="1:22" s="5" customFormat="1">
      <c r="A49"/>
      <c r="B49" s="64" t="s">
        <v>273</v>
      </c>
      <c r="C49" s="65">
        <v>12667.75</v>
      </c>
      <c r="D49" s="65">
        <v>13768.5</v>
      </c>
      <c r="E49" s="66">
        <v>0.92005301957366448</v>
      </c>
      <c r="F49" s="107">
        <v>-1100.75</v>
      </c>
      <c r="G49" s="101">
        <v>3115</v>
      </c>
      <c r="H49" s="65">
        <v>4209.25</v>
      </c>
      <c r="I49" s="66">
        <v>0.7400368236621726</v>
      </c>
      <c r="J49" s="107">
        <v>-1094.25</v>
      </c>
      <c r="K49" s="101">
        <v>11888.25</v>
      </c>
      <c r="L49" s="65">
        <v>12629</v>
      </c>
      <c r="M49" s="66">
        <v>0.94134531633541851</v>
      </c>
      <c r="N49" s="107">
        <v>-740.75</v>
      </c>
      <c r="O49" s="101">
        <v>2529.5</v>
      </c>
      <c r="P49" s="65">
        <v>3413.25</v>
      </c>
      <c r="Q49" s="68">
        <v>0.74108254596059475</v>
      </c>
      <c r="R49" s="107">
        <v>-883.75</v>
      </c>
      <c r="S49" s="104">
        <f t="shared" si="1"/>
        <v>30200.5</v>
      </c>
      <c r="T49" s="84">
        <f t="shared" si="2"/>
        <v>34020</v>
      </c>
      <c r="U49" s="85">
        <f t="shared" si="3"/>
        <v>0.88772780717225164</v>
      </c>
      <c r="V49" s="84">
        <f t="shared" si="4"/>
        <v>-3819.5</v>
      </c>
    </row>
    <row r="50" spans="1:22" ht="15" customHeight="1">
      <c r="B50" s="74" t="s">
        <v>274</v>
      </c>
      <c r="C50" s="75">
        <v>82008.616666666669</v>
      </c>
      <c r="D50" s="75">
        <v>85806.583333333328</v>
      </c>
      <c r="E50" s="76">
        <v>0.95573805040211568</v>
      </c>
      <c r="F50" s="108">
        <v>-3797.9666666666599</v>
      </c>
      <c r="G50" s="102">
        <v>37026.51666666667</v>
      </c>
      <c r="H50" s="75">
        <v>35793.25</v>
      </c>
      <c r="I50" s="76">
        <v>1.0344552860292562</v>
      </c>
      <c r="J50" s="108">
        <v>1233.2666666666701</v>
      </c>
      <c r="K50" s="102">
        <v>82465.766666666663</v>
      </c>
      <c r="L50" s="75">
        <v>84873.600000000006</v>
      </c>
      <c r="M50" s="76">
        <v>0.97163036169865136</v>
      </c>
      <c r="N50" s="108">
        <v>-2407.833333333343</v>
      </c>
      <c r="O50" s="102">
        <v>30303.4</v>
      </c>
      <c r="P50" s="75">
        <v>25675.883333333331</v>
      </c>
      <c r="Q50" s="77">
        <v>1.1802281388566316</v>
      </c>
      <c r="R50" s="108">
        <v>4627.5166666666701</v>
      </c>
      <c r="S50" s="105"/>
      <c r="T50" s="86"/>
      <c r="U50" s="87" t="e">
        <f t="shared" ref="U50" si="9">S50/T50</f>
        <v>#DIV/0!</v>
      </c>
      <c r="V50" s="86">
        <f t="shared" ref="V50" si="10">S50-T50</f>
        <v>0</v>
      </c>
    </row>
    <row r="53" spans="1:22">
      <c r="C53" s="71">
        <f>C49+C42+C32+C24+C16</f>
        <v>82008.616666666669</v>
      </c>
      <c r="D53" s="71">
        <f>D49+D42+D32+D24+D16</f>
        <v>85806.583333333328</v>
      </c>
      <c r="E53" s="72"/>
      <c r="F53" s="71"/>
      <c r="G53" s="71">
        <f>G49+G42+G32+G24+G16</f>
        <v>37026.51666666667</v>
      </c>
      <c r="H53" s="71">
        <f>H49+H42+H32+H24+H16</f>
        <v>35793.25</v>
      </c>
      <c r="I53" s="72"/>
      <c r="J53" s="73"/>
      <c r="K53" s="71">
        <f>K49+K42+K32+K24+K16</f>
        <v>82465.766666666663</v>
      </c>
      <c r="L53" s="71">
        <f>L49+L42+L32+L24+L16</f>
        <v>84873.600000000006</v>
      </c>
      <c r="M53" s="73"/>
      <c r="N53" s="71"/>
      <c r="O53" s="71">
        <f>O49+O42+O32+O24+O16</f>
        <v>30303.4</v>
      </c>
      <c r="P53" s="71">
        <f>P49+P42+P32+P24+P16</f>
        <v>25675.883333333331</v>
      </c>
      <c r="Q53" s="73"/>
      <c r="R53" s="71"/>
    </row>
    <row r="54" spans="1:22">
      <c r="C54" s="71" t="b">
        <f>C53=C50</f>
        <v>1</v>
      </c>
      <c r="D54" s="71" t="b">
        <f>D53=D50</f>
        <v>1</v>
      </c>
      <c r="E54" s="72"/>
      <c r="F54" s="71"/>
      <c r="G54" s="71" t="b">
        <f>G53=G50</f>
        <v>1</v>
      </c>
      <c r="H54" s="71" t="b">
        <f>H53=H50</f>
        <v>1</v>
      </c>
      <c r="I54" s="72"/>
      <c r="J54" s="73"/>
      <c r="K54" s="71" t="b">
        <f>K53=K50</f>
        <v>1</v>
      </c>
      <c r="L54" s="71" t="b">
        <f>L53=L50</f>
        <v>1</v>
      </c>
      <c r="M54" s="73"/>
      <c r="N54" s="71"/>
      <c r="O54" s="71" t="b">
        <f>O53=O50</f>
        <v>1</v>
      </c>
      <c r="P54" s="71" t="b">
        <f>P53=P50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pane ySplit="1" topLeftCell="A2" activePane="bottomLeft" state="frozenSplit"/>
      <selection pane="bottomLeft" activeCell="D1" sqref="D1"/>
    </sheetView>
  </sheetViews>
  <sheetFormatPr defaultRowHeight="15"/>
  <cols>
    <col min="1" max="1" width="8.85546875" style="12" bestFit="1" customWidth="1"/>
    <col min="2" max="2" width="14.42578125" style="12" bestFit="1" customWidth="1"/>
    <col min="3" max="3" width="21" style="12" customWidth="1"/>
    <col min="4" max="5" width="20" style="12" customWidth="1"/>
    <col min="7" max="7" width="20" style="12" bestFit="1" customWidth="1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201902</v>
      </c>
      <c r="C2" s="109" t="s">
        <v>126</v>
      </c>
      <c r="D2" s="12">
        <v>798</v>
      </c>
      <c r="E2" s="12">
        <v>868</v>
      </c>
      <c r="F2" s="12"/>
      <c r="H2" s="12"/>
    </row>
    <row r="3" spans="1:8">
      <c r="A3" s="12" t="s">
        <v>138</v>
      </c>
      <c r="B3" s="12">
        <v>201902</v>
      </c>
      <c r="C3" s="109" t="s">
        <v>128</v>
      </c>
      <c r="D3" s="12">
        <v>227</v>
      </c>
      <c r="E3" s="12">
        <v>392</v>
      </c>
      <c r="F3" s="12"/>
      <c r="H3" s="12"/>
    </row>
    <row r="4" spans="1:8">
      <c r="A4" s="12" t="s">
        <v>138</v>
      </c>
      <c r="B4" s="12">
        <v>201902</v>
      </c>
      <c r="C4" s="109" t="s">
        <v>97</v>
      </c>
      <c r="D4" s="12">
        <v>803</v>
      </c>
      <c r="E4" s="12">
        <v>924</v>
      </c>
      <c r="F4" s="12"/>
      <c r="H4" s="12"/>
    </row>
    <row r="5" spans="1:8">
      <c r="A5" s="12" t="s">
        <v>138</v>
      </c>
      <c r="B5" s="12">
        <v>201902</v>
      </c>
      <c r="C5" s="109" t="s">
        <v>99</v>
      </c>
      <c r="D5" s="12">
        <v>643</v>
      </c>
      <c r="E5" s="12">
        <v>700</v>
      </c>
      <c r="F5" s="12"/>
      <c r="H5" s="12"/>
    </row>
    <row r="6" spans="1:8">
      <c r="A6" s="12" t="s">
        <v>138</v>
      </c>
      <c r="B6" s="12">
        <v>201902</v>
      </c>
      <c r="C6" s="109" t="s">
        <v>275</v>
      </c>
      <c r="D6" s="12">
        <v>0</v>
      </c>
      <c r="E6" s="12">
        <v>0</v>
      </c>
      <c r="F6" s="12"/>
      <c r="H6" s="12"/>
    </row>
    <row r="7" spans="1:8">
      <c r="A7" s="12" t="s">
        <v>138</v>
      </c>
      <c r="B7" s="12">
        <v>201902</v>
      </c>
      <c r="C7" s="109" t="s">
        <v>276</v>
      </c>
      <c r="D7" s="12">
        <v>3</v>
      </c>
      <c r="E7" s="12">
        <v>0</v>
      </c>
      <c r="F7" s="12"/>
      <c r="H7" s="12"/>
    </row>
    <row r="8" spans="1:8">
      <c r="A8" s="12" t="s">
        <v>138</v>
      </c>
      <c r="B8" s="12">
        <v>201902</v>
      </c>
      <c r="C8" s="109" t="s">
        <v>101</v>
      </c>
      <c r="D8" s="12">
        <v>616</v>
      </c>
      <c r="E8" s="12">
        <v>700</v>
      </c>
      <c r="F8" s="12"/>
      <c r="H8" s="12"/>
    </row>
    <row r="9" spans="1:8">
      <c r="A9" s="12" t="s">
        <v>138</v>
      </c>
      <c r="B9" s="12">
        <v>201902</v>
      </c>
      <c r="C9" s="109" t="s">
        <v>104</v>
      </c>
      <c r="D9" s="12">
        <v>552</v>
      </c>
      <c r="E9" s="12">
        <v>560</v>
      </c>
      <c r="F9" s="12"/>
      <c r="H9" s="12"/>
    </row>
    <row r="10" spans="1:8">
      <c r="A10" s="12" t="s">
        <v>138</v>
      </c>
      <c r="B10" s="12">
        <v>201902</v>
      </c>
      <c r="C10" s="109" t="s">
        <v>117</v>
      </c>
      <c r="D10" s="12">
        <v>508</v>
      </c>
      <c r="E10" s="12">
        <v>560</v>
      </c>
      <c r="F10" s="12"/>
      <c r="H10" s="12"/>
    </row>
    <row r="11" spans="1:8">
      <c r="A11" s="12" t="s">
        <v>138</v>
      </c>
      <c r="B11" s="12">
        <v>201902</v>
      </c>
      <c r="C11" s="109" t="s">
        <v>118</v>
      </c>
      <c r="D11" s="12">
        <v>471</v>
      </c>
      <c r="E11" s="12">
        <v>504</v>
      </c>
      <c r="F11" s="12"/>
      <c r="H11" s="12"/>
    </row>
    <row r="12" spans="1:8">
      <c r="A12" s="12" t="s">
        <v>138</v>
      </c>
      <c r="B12" s="12">
        <v>201902</v>
      </c>
      <c r="C12" s="109" t="s">
        <v>119</v>
      </c>
      <c r="D12" s="12">
        <v>567</v>
      </c>
      <c r="E12" s="12">
        <v>616</v>
      </c>
      <c r="F12" s="12"/>
      <c r="H12" s="12"/>
    </row>
    <row r="13" spans="1:8">
      <c r="A13" s="12" t="s">
        <v>138</v>
      </c>
      <c r="B13" s="12">
        <v>201902</v>
      </c>
      <c r="C13" s="109" t="s">
        <v>145</v>
      </c>
      <c r="D13" s="12">
        <v>15</v>
      </c>
      <c r="E13" s="12">
        <v>0</v>
      </c>
      <c r="F13" s="12"/>
      <c r="H13" s="12"/>
    </row>
    <row r="14" spans="1:8">
      <c r="A14" s="12" t="s">
        <v>138</v>
      </c>
      <c r="B14" s="12">
        <v>201902</v>
      </c>
      <c r="C14" s="109" t="s">
        <v>120</v>
      </c>
      <c r="D14" s="12">
        <v>517</v>
      </c>
      <c r="E14" s="12">
        <v>644</v>
      </c>
      <c r="F14" s="12"/>
      <c r="H14" s="12"/>
    </row>
    <row r="15" spans="1:8">
      <c r="A15" s="12" t="s">
        <v>138</v>
      </c>
      <c r="B15" s="12">
        <v>201902</v>
      </c>
      <c r="C15" s="109" t="s">
        <v>122</v>
      </c>
      <c r="D15" s="12">
        <v>885</v>
      </c>
      <c r="E15" s="12">
        <v>896</v>
      </c>
      <c r="F15" s="12"/>
      <c r="H15" s="12"/>
    </row>
    <row r="16" spans="1:8">
      <c r="A16" s="12" t="s">
        <v>138</v>
      </c>
      <c r="B16" s="12">
        <v>201902</v>
      </c>
      <c r="C16" s="109" t="s">
        <v>106</v>
      </c>
      <c r="D16" s="12">
        <v>645</v>
      </c>
      <c r="E16" s="12">
        <v>672</v>
      </c>
      <c r="F16" s="12"/>
      <c r="H16" s="12"/>
    </row>
    <row r="17" spans="1:8">
      <c r="A17" s="12" t="s">
        <v>138</v>
      </c>
      <c r="B17" s="12">
        <v>201902</v>
      </c>
      <c r="C17" s="109" t="s">
        <v>109</v>
      </c>
      <c r="D17" s="12">
        <v>256</v>
      </c>
      <c r="E17" s="12">
        <v>308</v>
      </c>
      <c r="F17" s="12"/>
      <c r="H17" s="12"/>
    </row>
    <row r="18" spans="1:8">
      <c r="A18" s="12" t="s">
        <v>138</v>
      </c>
      <c r="B18" s="12">
        <v>201902</v>
      </c>
      <c r="C18" s="109" t="s">
        <v>111</v>
      </c>
      <c r="D18" s="12">
        <v>666</v>
      </c>
      <c r="E18" s="12">
        <v>672</v>
      </c>
      <c r="F18" s="12"/>
      <c r="H18" s="12"/>
    </row>
    <row r="19" spans="1:8">
      <c r="A19" s="12" t="s">
        <v>138</v>
      </c>
      <c r="B19" s="12">
        <v>201902</v>
      </c>
      <c r="C19" s="109" t="s">
        <v>113</v>
      </c>
      <c r="D19" s="12">
        <v>661</v>
      </c>
      <c r="E19" s="12">
        <v>672</v>
      </c>
      <c r="F19" s="12"/>
      <c r="H19" s="12"/>
    </row>
    <row r="20" spans="1:8">
      <c r="A20" s="12" t="s">
        <v>138</v>
      </c>
      <c r="B20" s="12">
        <v>201902</v>
      </c>
      <c r="C20" s="109" t="s">
        <v>277</v>
      </c>
      <c r="D20" s="12">
        <v>3</v>
      </c>
      <c r="E20" s="12">
        <v>0</v>
      </c>
      <c r="F20" s="12"/>
      <c r="H20" s="12"/>
    </row>
    <row r="21" spans="1:8">
      <c r="A21" s="12" t="s">
        <v>138</v>
      </c>
      <c r="B21" s="12">
        <v>201902</v>
      </c>
      <c r="C21" s="109" t="s">
        <v>267</v>
      </c>
      <c r="D21" s="12">
        <v>2</v>
      </c>
      <c r="E21" s="12">
        <v>0</v>
      </c>
      <c r="F21" s="12"/>
      <c r="H21" s="12"/>
    </row>
    <row r="22" spans="1:8">
      <c r="A22" s="12" t="s">
        <v>138</v>
      </c>
      <c r="B22" s="12">
        <v>201902</v>
      </c>
      <c r="C22" s="109" t="s">
        <v>244</v>
      </c>
      <c r="D22" s="12">
        <v>363</v>
      </c>
      <c r="E22" s="12">
        <v>504</v>
      </c>
      <c r="F22" s="12"/>
      <c r="H22" s="12"/>
    </row>
    <row r="23" spans="1:8">
      <c r="A23" s="12" t="s">
        <v>138</v>
      </c>
      <c r="B23" s="12">
        <v>201902</v>
      </c>
      <c r="C23" s="109" t="s">
        <v>245</v>
      </c>
      <c r="D23" s="12">
        <v>185</v>
      </c>
      <c r="E23" s="12">
        <v>252</v>
      </c>
      <c r="F23" s="12"/>
      <c r="H23" s="12"/>
    </row>
    <row r="24" spans="1:8">
      <c r="A24" s="12" t="s">
        <v>138</v>
      </c>
      <c r="B24" s="12">
        <v>201902</v>
      </c>
      <c r="C24" s="109" t="s">
        <v>246</v>
      </c>
      <c r="D24" s="12">
        <v>733</v>
      </c>
      <c r="E24" s="12">
        <v>896</v>
      </c>
      <c r="F24" s="12"/>
      <c r="H24" s="12"/>
    </row>
    <row r="25" spans="1:8">
      <c r="A25" s="12" t="s">
        <v>138</v>
      </c>
      <c r="B25" s="12">
        <v>201902</v>
      </c>
      <c r="C25" s="109" t="s">
        <v>268</v>
      </c>
      <c r="D25" s="12">
        <v>1</v>
      </c>
      <c r="E25" s="12">
        <v>0</v>
      </c>
      <c r="F25" s="12"/>
      <c r="H25" s="12"/>
    </row>
    <row r="26" spans="1:8">
      <c r="A26" s="12" t="s">
        <v>138</v>
      </c>
      <c r="B26" s="12">
        <v>201902</v>
      </c>
      <c r="C26" s="109" t="s">
        <v>258</v>
      </c>
      <c r="D26" s="12">
        <v>49</v>
      </c>
      <c r="E26" s="12">
        <v>0</v>
      </c>
      <c r="F26" s="12"/>
      <c r="H26" s="12"/>
    </row>
    <row r="27" spans="1:8">
      <c r="A27" s="12" t="s">
        <v>138</v>
      </c>
      <c r="B27" s="12">
        <v>201902</v>
      </c>
      <c r="C27" s="109" t="s">
        <v>247</v>
      </c>
      <c r="D27" s="12">
        <v>357</v>
      </c>
      <c r="E27" s="12">
        <v>392</v>
      </c>
      <c r="F27" s="12"/>
      <c r="H27" s="12"/>
    </row>
    <row r="28" spans="1:8">
      <c r="A28" s="12" t="s">
        <v>138</v>
      </c>
      <c r="B28" s="12">
        <v>201902</v>
      </c>
      <c r="C28" s="109" t="s">
        <v>259</v>
      </c>
      <c r="D28" s="12">
        <v>4</v>
      </c>
      <c r="E28" s="12">
        <v>0</v>
      </c>
      <c r="F28" s="12"/>
      <c r="H28" s="12"/>
    </row>
    <row r="29" spans="1:8">
      <c r="A29" s="12" t="s">
        <v>138</v>
      </c>
      <c r="B29" s="12">
        <v>201902</v>
      </c>
      <c r="C29" s="109" t="s">
        <v>278</v>
      </c>
      <c r="D29" s="12">
        <v>3</v>
      </c>
      <c r="E29" s="12">
        <v>0</v>
      </c>
      <c r="F29" s="12"/>
      <c r="H29" s="12"/>
    </row>
    <row r="30" spans="1:8">
      <c r="A30" s="12" t="s">
        <v>138</v>
      </c>
      <c r="B30" s="12">
        <v>201902</v>
      </c>
      <c r="C30" s="109" t="s">
        <v>107</v>
      </c>
      <c r="D30" s="12">
        <v>837</v>
      </c>
      <c r="E30" s="12">
        <v>840</v>
      </c>
      <c r="F30" s="12"/>
      <c r="H30" s="12"/>
    </row>
    <row r="31" spans="1:8">
      <c r="A31" s="12" t="s">
        <v>138</v>
      </c>
      <c r="B31" s="12">
        <v>201902</v>
      </c>
      <c r="C31" s="109" t="s">
        <v>108</v>
      </c>
      <c r="D31" s="12">
        <v>838</v>
      </c>
      <c r="E31" s="12">
        <v>840</v>
      </c>
      <c r="F31" s="12"/>
      <c r="H31" s="12"/>
    </row>
    <row r="32" spans="1:8">
      <c r="A32" s="12" t="s">
        <v>138</v>
      </c>
      <c r="B32" s="12">
        <v>201902</v>
      </c>
      <c r="C32" s="109" t="s">
        <v>279</v>
      </c>
      <c r="D32" s="12">
        <v>8</v>
      </c>
      <c r="E32" s="12">
        <v>0</v>
      </c>
      <c r="F32" s="12"/>
      <c r="H32" s="12"/>
    </row>
    <row r="33" spans="1:8">
      <c r="A33" s="12" t="s">
        <v>138</v>
      </c>
      <c r="B33" s="12">
        <v>201902</v>
      </c>
      <c r="C33" s="109" t="s">
        <v>280</v>
      </c>
      <c r="D33" s="12">
        <v>1</v>
      </c>
      <c r="E33" s="12">
        <v>0</v>
      </c>
      <c r="F33" s="12"/>
      <c r="H33" s="12"/>
    </row>
    <row r="34" spans="1:8">
      <c r="A34" s="12" t="s">
        <v>138</v>
      </c>
      <c r="B34" s="12">
        <v>201902</v>
      </c>
      <c r="C34" s="109" t="s">
        <v>125</v>
      </c>
      <c r="D34" s="12">
        <v>725</v>
      </c>
      <c r="E34" s="12">
        <v>1064</v>
      </c>
      <c r="F34" s="12"/>
      <c r="H34" s="12"/>
    </row>
    <row r="35" spans="1:8">
      <c r="A35" s="12" t="s">
        <v>138</v>
      </c>
      <c r="B35" s="12">
        <v>201902</v>
      </c>
      <c r="C35" s="109" t="s">
        <v>127</v>
      </c>
      <c r="D35" s="12">
        <v>246</v>
      </c>
      <c r="E35" s="12">
        <v>448</v>
      </c>
      <c r="F35" s="12"/>
      <c r="H35" s="12"/>
    </row>
    <row r="36" spans="1:8">
      <c r="A36" s="12" t="s">
        <v>138</v>
      </c>
      <c r="B36" s="12">
        <v>201902</v>
      </c>
      <c r="C36" s="109" t="s">
        <v>139</v>
      </c>
      <c r="D36" s="12">
        <v>57</v>
      </c>
      <c r="E36" s="12">
        <v>0</v>
      </c>
      <c r="F36" s="12"/>
      <c r="H36" s="12"/>
    </row>
    <row r="37" spans="1:8">
      <c r="A37" s="12" t="s">
        <v>138</v>
      </c>
      <c r="B37" s="12">
        <v>201902</v>
      </c>
      <c r="C37" s="109" t="s">
        <v>129</v>
      </c>
      <c r="D37" s="12">
        <v>336</v>
      </c>
      <c r="E37" s="12">
        <v>616</v>
      </c>
      <c r="F37" s="12"/>
      <c r="H37" s="12"/>
    </row>
    <row r="38" spans="1:8">
      <c r="A38" s="12" t="s">
        <v>138</v>
      </c>
      <c r="B38" s="12">
        <v>201902</v>
      </c>
      <c r="C38" s="109" t="s">
        <v>140</v>
      </c>
      <c r="D38" s="12">
        <v>143</v>
      </c>
      <c r="E38" s="12">
        <v>0</v>
      </c>
      <c r="F38" s="12"/>
      <c r="H38" s="12"/>
    </row>
    <row r="39" spans="1:8">
      <c r="A39" s="12" t="s">
        <v>138</v>
      </c>
      <c r="B39" s="12">
        <v>201902</v>
      </c>
      <c r="C39" s="109" t="s">
        <v>98</v>
      </c>
      <c r="D39" s="12">
        <v>810</v>
      </c>
      <c r="E39" s="12">
        <v>840</v>
      </c>
      <c r="F39" s="12"/>
      <c r="H39" s="12"/>
    </row>
    <row r="40" spans="1:8">
      <c r="A40" s="12" t="s">
        <v>138</v>
      </c>
      <c r="B40" s="12">
        <v>201902</v>
      </c>
      <c r="C40" s="109" t="s">
        <v>257</v>
      </c>
      <c r="D40" s="12">
        <v>26</v>
      </c>
      <c r="E40" s="12">
        <v>0</v>
      </c>
      <c r="F40" s="12"/>
      <c r="H40" s="12"/>
    </row>
    <row r="41" spans="1:8">
      <c r="A41" s="12" t="s">
        <v>138</v>
      </c>
      <c r="B41" s="12">
        <v>201902</v>
      </c>
      <c r="C41" s="109" t="s">
        <v>141</v>
      </c>
      <c r="D41" s="12">
        <v>107</v>
      </c>
      <c r="E41" s="12">
        <v>0</v>
      </c>
      <c r="F41" s="12"/>
      <c r="H41" s="12"/>
    </row>
    <row r="42" spans="1:8">
      <c r="A42" s="12" t="s">
        <v>138</v>
      </c>
      <c r="B42" s="12">
        <v>201902</v>
      </c>
      <c r="C42" s="109" t="s">
        <v>265</v>
      </c>
      <c r="D42" s="12">
        <v>242</v>
      </c>
      <c r="E42" s="12">
        <v>0</v>
      </c>
      <c r="F42" s="12"/>
      <c r="H42" s="12"/>
    </row>
    <row r="43" spans="1:8">
      <c r="A43" s="12" t="s">
        <v>138</v>
      </c>
      <c r="B43" s="12">
        <v>201902</v>
      </c>
      <c r="C43" s="109" t="s">
        <v>100</v>
      </c>
      <c r="D43" s="12">
        <v>444</v>
      </c>
      <c r="E43" s="12">
        <v>476</v>
      </c>
      <c r="F43" s="12"/>
      <c r="H43" s="12"/>
    </row>
    <row r="44" spans="1:8">
      <c r="A44" s="12" t="s">
        <v>138</v>
      </c>
      <c r="B44" s="12">
        <v>201902</v>
      </c>
      <c r="C44" s="109" t="s">
        <v>102</v>
      </c>
      <c r="D44" s="12">
        <v>541</v>
      </c>
      <c r="E44" s="12">
        <v>560</v>
      </c>
      <c r="F44" s="12"/>
      <c r="H44" s="12"/>
    </row>
    <row r="45" spans="1:8">
      <c r="A45" s="12" t="s">
        <v>138</v>
      </c>
      <c r="B45" s="12">
        <v>201902</v>
      </c>
      <c r="C45" s="109" t="s">
        <v>103</v>
      </c>
      <c r="D45" s="12">
        <v>365</v>
      </c>
      <c r="E45" s="12">
        <v>392</v>
      </c>
      <c r="F45" s="12"/>
      <c r="H45" s="12"/>
    </row>
    <row r="46" spans="1:8">
      <c r="A46" s="12" t="s">
        <v>138</v>
      </c>
      <c r="B46" s="12">
        <v>201902</v>
      </c>
      <c r="C46" s="109" t="s">
        <v>105</v>
      </c>
      <c r="D46" s="12">
        <v>500</v>
      </c>
      <c r="E46" s="12">
        <v>504</v>
      </c>
      <c r="F46" s="12"/>
      <c r="H46" s="12"/>
    </row>
    <row r="47" spans="1:8">
      <c r="A47" s="12" t="s">
        <v>138</v>
      </c>
      <c r="B47" s="12">
        <v>201902</v>
      </c>
      <c r="C47" s="109" t="s">
        <v>142</v>
      </c>
      <c r="D47" s="12">
        <v>3</v>
      </c>
      <c r="E47" s="12">
        <v>0</v>
      </c>
      <c r="F47" s="12"/>
      <c r="H47" s="12"/>
    </row>
    <row r="48" spans="1:8">
      <c r="A48" s="12" t="s">
        <v>138</v>
      </c>
      <c r="B48" s="12">
        <v>201902</v>
      </c>
      <c r="C48" s="109" t="s">
        <v>121</v>
      </c>
      <c r="D48" s="12">
        <v>837</v>
      </c>
      <c r="E48" s="12">
        <v>896</v>
      </c>
      <c r="F48" s="12"/>
      <c r="H48" s="12"/>
    </row>
    <row r="49" spans="1:12">
      <c r="A49" s="12" t="s">
        <v>138</v>
      </c>
      <c r="B49" s="12">
        <v>201902</v>
      </c>
      <c r="C49" s="109" t="s">
        <v>143</v>
      </c>
      <c r="D49" s="12">
        <v>22</v>
      </c>
      <c r="E49" s="12">
        <v>0</v>
      </c>
      <c r="F49" s="12"/>
      <c r="H49" s="12"/>
    </row>
    <row r="50" spans="1:12">
      <c r="A50" s="12" t="s">
        <v>138</v>
      </c>
      <c r="B50" s="12">
        <v>201902</v>
      </c>
      <c r="C50" s="109" t="s">
        <v>110</v>
      </c>
      <c r="D50" s="12">
        <v>667</v>
      </c>
      <c r="E50" s="12">
        <v>672</v>
      </c>
      <c r="F50" s="12"/>
      <c r="H50" s="12"/>
    </row>
    <row r="51" spans="1:12">
      <c r="A51" s="12" t="s">
        <v>138</v>
      </c>
      <c r="B51" s="12">
        <v>201902</v>
      </c>
      <c r="C51" s="109" t="s">
        <v>112</v>
      </c>
      <c r="D51" s="12">
        <v>642</v>
      </c>
      <c r="E51" s="12">
        <v>644</v>
      </c>
      <c r="F51" s="12"/>
      <c r="H51" s="12"/>
    </row>
    <row r="52" spans="1:12">
      <c r="A52" s="12" t="s">
        <v>138</v>
      </c>
      <c r="B52" s="12">
        <v>201902</v>
      </c>
      <c r="C52" s="109" t="s">
        <v>96</v>
      </c>
      <c r="D52" s="12">
        <v>692</v>
      </c>
      <c r="E52" s="12">
        <v>672</v>
      </c>
      <c r="F52" s="12"/>
      <c r="H52" s="12"/>
    </row>
    <row r="53" spans="1:12">
      <c r="A53" s="12" t="s">
        <v>138</v>
      </c>
      <c r="B53" s="12">
        <v>201902</v>
      </c>
      <c r="C53" s="109" t="s">
        <v>114</v>
      </c>
      <c r="D53" s="12">
        <v>803</v>
      </c>
      <c r="E53" s="12">
        <v>896</v>
      </c>
      <c r="F53" s="12"/>
      <c r="H53" s="12"/>
    </row>
    <row r="54" spans="1:12">
      <c r="A54" s="109" t="s">
        <v>138</v>
      </c>
      <c r="B54" s="109">
        <v>201902</v>
      </c>
      <c r="C54" s="109" t="s">
        <v>115</v>
      </c>
      <c r="D54" s="109">
        <v>667</v>
      </c>
      <c r="E54" s="109">
        <v>672</v>
      </c>
      <c r="H54" s="12"/>
    </row>
    <row r="55" spans="1:12">
      <c r="A55" s="109" t="s">
        <v>138</v>
      </c>
      <c r="B55" s="109">
        <v>201902</v>
      </c>
      <c r="C55" s="109" t="s">
        <v>248</v>
      </c>
      <c r="D55" s="109">
        <v>137</v>
      </c>
      <c r="E55" s="109">
        <v>224</v>
      </c>
      <c r="H55" s="12"/>
    </row>
    <row r="56" spans="1:12">
      <c r="A56" s="109" t="s">
        <v>138</v>
      </c>
      <c r="B56" s="109">
        <v>201902</v>
      </c>
      <c r="C56" s="109" t="s">
        <v>249</v>
      </c>
      <c r="D56" s="109">
        <v>306</v>
      </c>
      <c r="E56" s="109">
        <v>336</v>
      </c>
      <c r="H56" s="12"/>
    </row>
    <row r="57" spans="1:12">
      <c r="A57" s="109" t="s">
        <v>138</v>
      </c>
      <c r="B57" s="109">
        <v>201902</v>
      </c>
      <c r="C57" s="109" t="s">
        <v>250</v>
      </c>
      <c r="D57" s="109">
        <v>155</v>
      </c>
      <c r="E57" s="109">
        <v>224</v>
      </c>
      <c r="H57" s="12"/>
    </row>
    <row r="58" spans="1:12">
      <c r="A58" s="109" t="s">
        <v>138</v>
      </c>
      <c r="B58" s="109">
        <v>201902</v>
      </c>
      <c r="C58" s="109" t="s">
        <v>251</v>
      </c>
      <c r="D58" s="109">
        <v>228</v>
      </c>
      <c r="E58" s="109">
        <v>280</v>
      </c>
      <c r="H58" s="12"/>
    </row>
    <row r="59" spans="1:12">
      <c r="A59" s="109" t="s">
        <v>138</v>
      </c>
      <c r="B59" s="109">
        <v>201902</v>
      </c>
      <c r="C59" s="109" t="s">
        <v>252</v>
      </c>
      <c r="D59" s="109">
        <v>354</v>
      </c>
      <c r="E59" s="109">
        <v>448</v>
      </c>
      <c r="H59" s="12"/>
    </row>
    <row r="60" spans="1:12">
      <c r="A60" s="109" t="s">
        <v>138</v>
      </c>
      <c r="B60" s="109">
        <v>201902</v>
      </c>
      <c r="C60" s="109" t="s">
        <v>253</v>
      </c>
      <c r="D60" s="109">
        <v>438</v>
      </c>
      <c r="E60" s="109">
        <v>616</v>
      </c>
      <c r="H60" s="12"/>
    </row>
    <row r="61" spans="1:12">
      <c r="A61" s="109" t="s">
        <v>138</v>
      </c>
      <c r="B61" s="109">
        <v>201902</v>
      </c>
      <c r="C61" s="109" t="s">
        <v>269</v>
      </c>
      <c r="D61" s="109">
        <v>1</v>
      </c>
      <c r="E61" s="109">
        <v>0</v>
      </c>
      <c r="H61" s="12"/>
    </row>
    <row r="62" spans="1:12">
      <c r="A62" s="109" t="s">
        <v>138</v>
      </c>
      <c r="B62" s="109">
        <v>201902</v>
      </c>
      <c r="C62" s="109" t="s">
        <v>254</v>
      </c>
      <c r="D62" s="109">
        <v>396</v>
      </c>
      <c r="E62" s="109">
        <v>448</v>
      </c>
      <c r="H62" s="12"/>
    </row>
    <row r="63" spans="1:12">
      <c r="A63" s="109" t="s">
        <v>138</v>
      </c>
      <c r="B63" s="109">
        <v>201902</v>
      </c>
      <c r="C63" s="109" t="s">
        <v>281</v>
      </c>
      <c r="D63" s="109">
        <v>21</v>
      </c>
      <c r="E63" s="109">
        <v>0</v>
      </c>
      <c r="H63" s="12"/>
      <c r="L63" s="98" t="s">
        <v>235</v>
      </c>
    </row>
    <row r="64" spans="1:12">
      <c r="A64" s="109" t="s">
        <v>138</v>
      </c>
      <c r="B64" s="109">
        <v>201902</v>
      </c>
      <c r="C64" s="109" t="s">
        <v>116</v>
      </c>
      <c r="D64" s="109">
        <v>210</v>
      </c>
      <c r="E64" s="109">
        <v>308</v>
      </c>
      <c r="H64" s="12"/>
      <c r="L64" s="98" t="s">
        <v>236</v>
      </c>
    </row>
    <row r="65" spans="1:12">
      <c r="A65" s="109" t="s">
        <v>138</v>
      </c>
      <c r="B65" s="109">
        <v>201902</v>
      </c>
      <c r="C65" s="109" t="s">
        <v>124</v>
      </c>
      <c r="D65" s="109">
        <v>29</v>
      </c>
      <c r="E65" s="109">
        <v>112</v>
      </c>
      <c r="H65" s="12"/>
      <c r="L65" s="98" t="s">
        <v>237</v>
      </c>
    </row>
    <row r="66" spans="1:12">
      <c r="A66" s="109" t="s">
        <v>138</v>
      </c>
      <c r="B66" s="109">
        <v>201902</v>
      </c>
      <c r="C66" s="109" t="s">
        <v>144</v>
      </c>
      <c r="D66" s="109">
        <v>5</v>
      </c>
      <c r="E66" s="109">
        <v>0</v>
      </c>
      <c r="F66" s="12"/>
      <c r="G66"/>
      <c r="H66" s="12"/>
      <c r="L66" s="98" t="s">
        <v>238</v>
      </c>
    </row>
    <row r="67" spans="1:12">
      <c r="A67" s="109" t="s">
        <v>138</v>
      </c>
      <c r="B67" s="109">
        <v>201902</v>
      </c>
      <c r="C67" s="109" t="s">
        <v>282</v>
      </c>
      <c r="D67" s="109">
        <v>1</v>
      </c>
      <c r="E67" s="109">
        <v>0</v>
      </c>
      <c r="F67" s="12"/>
      <c r="G67"/>
      <c r="H67" s="12"/>
      <c r="L67" s="98" t="s">
        <v>239</v>
      </c>
    </row>
    <row r="68" spans="1:12">
      <c r="F68" s="12"/>
      <c r="G68"/>
      <c r="H68" s="12"/>
      <c r="L68" s="98" t="s">
        <v>240</v>
      </c>
    </row>
    <row r="69" spans="1:12">
      <c r="F69" s="12"/>
      <c r="G69"/>
      <c r="H69" s="12"/>
      <c r="L69" s="98" t="s">
        <v>241</v>
      </c>
    </row>
    <row r="70" spans="1:12">
      <c r="F70" s="12"/>
      <c r="G70"/>
      <c r="H70" s="12"/>
      <c r="L70" s="98" t="s">
        <v>242</v>
      </c>
    </row>
    <row r="71" spans="1:12">
      <c r="C71" s="112"/>
      <c r="D71" s="111"/>
      <c r="E71" s="111"/>
      <c r="L71" s="98" t="s">
        <v>243</v>
      </c>
    </row>
    <row r="75" spans="1:12">
      <c r="C75" s="111" t="s">
        <v>255</v>
      </c>
      <c r="D75" s="111">
        <f>SUMIF($C$2:$C$73,"E406A",D$2:D$73) + SUMIF($C$2:$C$73,"E406B",D$2:D$73)</f>
        <v>185</v>
      </c>
      <c r="E75" s="111">
        <f>SUMIF($C$2:$C$73,"E406A",E$2:E$73) + SUMIF($C$2:$C$73,"E406B",E$2:E$73)</f>
        <v>252</v>
      </c>
    </row>
    <row r="76" spans="1:12">
      <c r="C76" s="111" t="s">
        <v>256</v>
      </c>
      <c r="D76" s="111">
        <f>SUMIF($C$2:$C$73,"E500",D$2:D$73) + SUMIF($C$2:$C$73,"E501",D$2:D$73)</f>
        <v>461</v>
      </c>
      <c r="E76" s="111">
        <f>SUMIF($C$2:$C$73,"E500",E$2:E$73) + SUMIF($C$2:$C$73,"E501",E$2:E$73)</f>
        <v>560</v>
      </c>
    </row>
    <row r="79" spans="1:12">
      <c r="C79" s="14"/>
      <c r="E79" s="14"/>
    </row>
    <row r="80" spans="1:12">
      <c r="C80" s="14"/>
      <c r="E80" s="14"/>
    </row>
    <row r="81" spans="3:5">
      <c r="C81" s="112"/>
      <c r="D81" s="111"/>
      <c r="E81" s="111"/>
    </row>
    <row r="82" spans="3:5">
      <c r="C82" s="112"/>
      <c r="D82" s="111"/>
      <c r="E82" s="111"/>
    </row>
    <row r="83" spans="3:5">
      <c r="C83" s="112"/>
      <c r="D83" s="111"/>
      <c r="E83" s="111"/>
    </row>
    <row r="84" spans="3:5">
      <c r="C84" s="112"/>
      <c r="D84" s="111"/>
      <c r="E84" s="111"/>
    </row>
    <row r="85" spans="3:5">
      <c r="C85" s="112"/>
      <c r="D85" s="111"/>
      <c r="E85" s="111"/>
    </row>
    <row r="86" spans="3:5">
      <c r="C86" s="112"/>
      <c r="D86" s="111"/>
      <c r="E86" s="111"/>
    </row>
    <row r="87" spans="3:5">
      <c r="C87" s="112"/>
      <c r="D87" s="111"/>
      <c r="E87" s="111"/>
    </row>
    <row r="88" spans="3:5">
      <c r="C88" s="112"/>
      <c r="D88" s="111"/>
      <c r="E88" s="111"/>
    </row>
    <row r="89" spans="3:5">
      <c r="C89" s="112"/>
      <c r="D89" s="111"/>
      <c r="E89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2019-03-18T16:37:02Z</dcterms:modified>
</cp:coreProperties>
</file>