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870" yWindow="930" windowWidth="13815" windowHeight="7530" activeTab="2"/>
  </bookViews>
  <sheets>
    <sheet name="Unify" sheetId="5" r:id="rId1"/>
    <sheet name="PSD" sheetId="4" r:id="rId2"/>
    <sheet name="CHPPD" sheetId="2" r:id="rId3"/>
    <sheet name="Unify Report" sheetId="1" r:id="rId4"/>
    <sheet name="Beddays_Data" sheetId="3" r:id="rId5"/>
  </sheets>
  <definedNames>
    <definedName name="_xlnm._FilterDatabase" localSheetId="4" hidden="1">Beddays_Data!#REF!</definedName>
    <definedName name="_xlnm._FilterDatabase" localSheetId="0" hidden="1">Unify!$I$2:$P$44</definedName>
    <definedName name="_xlnm.Print_Area" localSheetId="3">'Unify Report'!$B$1:$V$50</definedName>
    <definedName name="Query_from_PSD" localSheetId="4" hidden="1">Beddays_Data!$A$1:$E$71</definedName>
  </definedNames>
  <calcPr calcId="145621"/>
</workbook>
</file>

<file path=xl/calcChain.xml><?xml version="1.0" encoding="utf-8"?>
<calcChain xmlns="http://schemas.openxmlformats.org/spreadsheetml/2006/main">
  <c r="O50" i="4" l="1"/>
  <c r="N50" i="4"/>
  <c r="M50" i="4"/>
  <c r="L50" i="4"/>
  <c r="K50" i="4"/>
  <c r="J50" i="4"/>
  <c r="I50" i="4"/>
  <c r="H50" i="4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V2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U2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T4" i="1"/>
  <c r="S4" i="1"/>
  <c r="T3" i="1"/>
  <c r="S3" i="1"/>
  <c r="T2" i="1"/>
  <c r="S2" i="1"/>
  <c r="C54" i="1" l="1"/>
  <c r="D54" i="1"/>
  <c r="G54" i="1"/>
  <c r="H54" i="1"/>
  <c r="K54" i="1"/>
  <c r="L54" i="1"/>
  <c r="O54" i="1"/>
  <c r="P54" i="1"/>
  <c r="P53" i="1"/>
  <c r="O53" i="1"/>
  <c r="L53" i="1"/>
  <c r="K53" i="1"/>
  <c r="H53" i="1"/>
  <c r="G53" i="1"/>
  <c r="D53" i="1"/>
  <c r="C53" i="1"/>
  <c r="A43" i="1"/>
  <c r="A47" i="1" l="1"/>
  <c r="A2" i="1"/>
  <c r="N3" i="4" l="1"/>
  <c r="J3" i="4"/>
  <c r="O3" i="4"/>
  <c r="I3" i="4"/>
  <c r="M3" i="4"/>
  <c r="H3" i="4"/>
  <c r="L3" i="4"/>
  <c r="K3" i="4"/>
  <c r="L3" i="5"/>
  <c r="M3" i="5"/>
  <c r="I3" i="5"/>
  <c r="P3" i="5"/>
  <c r="N3" i="5"/>
  <c r="K3" i="5"/>
  <c r="J3" i="5"/>
  <c r="O3" i="5"/>
  <c r="G6" i="2"/>
  <c r="F6" i="2"/>
  <c r="H4" i="5" l="1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3" i="5"/>
  <c r="E84" i="3" l="1"/>
  <c r="J44" i="2" s="1"/>
  <c r="D84" i="3"/>
  <c r="I44" i="2" s="1"/>
  <c r="E83" i="3"/>
  <c r="J40" i="2" s="1"/>
  <c r="L40" i="2" s="1"/>
  <c r="D83" i="3"/>
  <c r="I40" i="2" s="1"/>
  <c r="I7" i="2"/>
  <c r="J7" i="2"/>
  <c r="L7" i="2" s="1"/>
  <c r="I8" i="2"/>
  <c r="J8" i="2"/>
  <c r="L8" i="2" s="1"/>
  <c r="I9" i="2"/>
  <c r="J9" i="2"/>
  <c r="L9" i="2" s="1"/>
  <c r="I10" i="2"/>
  <c r="J10" i="2"/>
  <c r="I11" i="2"/>
  <c r="Q8" i="5" s="1"/>
  <c r="J11" i="2"/>
  <c r="L11" i="2" s="1"/>
  <c r="I12" i="2"/>
  <c r="J12" i="2"/>
  <c r="L12" i="2" s="1"/>
  <c r="I13" i="2"/>
  <c r="J13" i="2"/>
  <c r="I14" i="2"/>
  <c r="J14" i="2"/>
  <c r="L14" i="2" s="1"/>
  <c r="I15" i="2"/>
  <c r="Q12" i="5" s="1"/>
  <c r="J15" i="2"/>
  <c r="L15" i="2" s="1"/>
  <c r="I16" i="2"/>
  <c r="J16" i="2"/>
  <c r="L16" i="2" s="1"/>
  <c r="I17" i="2"/>
  <c r="J17" i="2"/>
  <c r="I18" i="2"/>
  <c r="J18" i="2"/>
  <c r="I20" i="2"/>
  <c r="J20" i="2"/>
  <c r="L20" i="2" s="1"/>
  <c r="I21" i="2"/>
  <c r="J21" i="2"/>
  <c r="I22" i="2"/>
  <c r="J22" i="2"/>
  <c r="I23" i="2"/>
  <c r="J23" i="2"/>
  <c r="L23" i="2" s="1"/>
  <c r="I24" i="2"/>
  <c r="J24" i="2"/>
  <c r="L24" i="2" s="1"/>
  <c r="I25" i="2"/>
  <c r="J25" i="2"/>
  <c r="L25" i="2" s="1"/>
  <c r="I26" i="2"/>
  <c r="J26" i="2"/>
  <c r="L26" i="2" s="1"/>
  <c r="I28" i="2"/>
  <c r="J28" i="2"/>
  <c r="L28" i="2" s="1"/>
  <c r="I29" i="2"/>
  <c r="J29" i="2"/>
  <c r="I30" i="2"/>
  <c r="J30" i="2"/>
  <c r="L30" i="2" s="1"/>
  <c r="I31" i="2"/>
  <c r="J31" i="2"/>
  <c r="L31" i="2" s="1"/>
  <c r="I32" i="2"/>
  <c r="J32" i="2"/>
  <c r="L32" i="2" s="1"/>
  <c r="I33" i="2"/>
  <c r="J33" i="2"/>
  <c r="L33" i="2" s="1"/>
  <c r="I34" i="2"/>
  <c r="J34" i="2"/>
  <c r="I36" i="2"/>
  <c r="J36" i="2"/>
  <c r="L36" i="2" s="1"/>
  <c r="I37" i="2"/>
  <c r="J37" i="2"/>
  <c r="L37" i="2" s="1"/>
  <c r="I38" i="2"/>
  <c r="J38" i="2"/>
  <c r="I39" i="2"/>
  <c r="Q33" i="5" s="1"/>
  <c r="J39" i="2"/>
  <c r="L39" i="2" s="1"/>
  <c r="I41" i="2"/>
  <c r="J41" i="2"/>
  <c r="L41" i="2" s="1"/>
  <c r="I42" i="2"/>
  <c r="J42" i="2"/>
  <c r="I43" i="2"/>
  <c r="J43" i="2"/>
  <c r="L43" i="2" s="1"/>
  <c r="I45" i="2"/>
  <c r="J45" i="2"/>
  <c r="I46" i="2"/>
  <c r="J46" i="2"/>
  <c r="I47" i="2"/>
  <c r="J47" i="2"/>
  <c r="L47" i="2" s="1"/>
  <c r="I48" i="2"/>
  <c r="J48" i="2"/>
  <c r="I49" i="2"/>
  <c r="J49" i="2"/>
  <c r="I50" i="2"/>
  <c r="J50" i="2"/>
  <c r="J6" i="2"/>
  <c r="I6" i="2"/>
  <c r="A3" i="1"/>
  <c r="A4" i="1"/>
  <c r="A5" i="1"/>
  <c r="A6" i="1"/>
  <c r="A7" i="1"/>
  <c r="A8" i="1"/>
  <c r="A9" i="1"/>
  <c r="A10" i="1"/>
  <c r="A11" i="1"/>
  <c r="A12" i="1"/>
  <c r="A13" i="1"/>
  <c r="A14" i="1"/>
  <c r="A16" i="1"/>
  <c r="A17" i="1"/>
  <c r="A18" i="1"/>
  <c r="A19" i="1"/>
  <c r="A20" i="1"/>
  <c r="A21" i="1"/>
  <c r="A22" i="1"/>
  <c r="A24" i="1"/>
  <c r="A25" i="1"/>
  <c r="A26" i="1"/>
  <c r="A27" i="1"/>
  <c r="A28" i="1"/>
  <c r="A29" i="1"/>
  <c r="A30" i="1"/>
  <c r="A32" i="1"/>
  <c r="A33" i="1"/>
  <c r="A34" i="1"/>
  <c r="A35" i="1"/>
  <c r="A36" i="1"/>
  <c r="A37" i="1"/>
  <c r="A38" i="1"/>
  <c r="A39" i="1"/>
  <c r="A40" i="1"/>
  <c r="A42" i="1"/>
  <c r="A44" i="1"/>
  <c r="A45" i="1"/>
  <c r="A46" i="1"/>
  <c r="Q41" i="5" l="1"/>
  <c r="Q19" i="5"/>
  <c r="Q3" i="5"/>
  <c r="Q26" i="5"/>
  <c r="O44" i="4"/>
  <c r="O42" i="4"/>
  <c r="O40" i="4"/>
  <c r="O38" i="4"/>
  <c r="O36" i="4"/>
  <c r="O34" i="4"/>
  <c r="O32" i="4"/>
  <c r="O30" i="4"/>
  <c r="O28" i="4"/>
  <c r="O26" i="4"/>
  <c r="O24" i="4"/>
  <c r="O22" i="4"/>
  <c r="O20" i="4"/>
  <c r="O18" i="4"/>
  <c r="O16" i="4"/>
  <c r="O14" i="4"/>
  <c r="O12" i="4"/>
  <c r="O10" i="4"/>
  <c r="O8" i="4"/>
  <c r="O6" i="4"/>
  <c r="O4" i="4"/>
  <c r="N43" i="4"/>
  <c r="N41" i="4"/>
  <c r="N39" i="4"/>
  <c r="N37" i="4"/>
  <c r="N35" i="4"/>
  <c r="N33" i="4"/>
  <c r="N31" i="4"/>
  <c r="N29" i="4"/>
  <c r="N27" i="4"/>
  <c r="N25" i="4"/>
  <c r="N23" i="4"/>
  <c r="N21" i="4"/>
  <c r="N19" i="4"/>
  <c r="N17" i="4"/>
  <c r="N15" i="4"/>
  <c r="N13" i="4"/>
  <c r="N11" i="4"/>
  <c r="N9" i="4"/>
  <c r="N7" i="4"/>
  <c r="N5" i="4"/>
  <c r="L43" i="4"/>
  <c r="L39" i="4"/>
  <c r="L34" i="4"/>
  <c r="L24" i="4"/>
  <c r="L13" i="4"/>
  <c r="L4" i="4"/>
  <c r="I40" i="4"/>
  <c r="I33" i="4"/>
  <c r="I25" i="4"/>
  <c r="I17" i="4"/>
  <c r="I9" i="4"/>
  <c r="H44" i="4"/>
  <c r="M41" i="4"/>
  <c r="M37" i="4"/>
  <c r="M33" i="4"/>
  <c r="M29" i="4"/>
  <c r="M25" i="4"/>
  <c r="M21" i="4"/>
  <c r="M17" i="4"/>
  <c r="M13" i="4"/>
  <c r="M9" i="4"/>
  <c r="M5" i="4"/>
  <c r="L35" i="4"/>
  <c r="L28" i="4"/>
  <c r="L22" i="4"/>
  <c r="L15" i="4"/>
  <c r="L9" i="4"/>
  <c r="I35" i="4"/>
  <c r="I26" i="4"/>
  <c r="I18" i="4"/>
  <c r="I10" i="4"/>
  <c r="H43" i="4"/>
  <c r="H35" i="4"/>
  <c r="H30" i="4"/>
  <c r="H33" i="4"/>
  <c r="H36" i="4"/>
  <c r="H20" i="4"/>
  <c r="H4" i="4"/>
  <c r="H11" i="4"/>
  <c r="H26" i="4"/>
  <c r="H29" i="4"/>
  <c r="P44" i="5"/>
  <c r="P42" i="5"/>
  <c r="P40" i="5"/>
  <c r="P38" i="5"/>
  <c r="P36" i="5"/>
  <c r="P34" i="5"/>
  <c r="P32" i="5"/>
  <c r="P30" i="5"/>
  <c r="P28" i="5"/>
  <c r="P26" i="5"/>
  <c r="P24" i="5"/>
  <c r="P22" i="5"/>
  <c r="P20" i="5"/>
  <c r="P18" i="5"/>
  <c r="P16" i="5"/>
  <c r="P14" i="5"/>
  <c r="P12" i="5"/>
  <c r="P10" i="5"/>
  <c r="P8" i="5"/>
  <c r="P4" i="5"/>
  <c r="K43" i="5"/>
  <c r="K41" i="5"/>
  <c r="I43" i="5"/>
  <c r="I41" i="5"/>
  <c r="I39" i="5"/>
  <c r="I37" i="5"/>
  <c r="I35" i="5"/>
  <c r="I33" i="5"/>
  <c r="I31" i="5"/>
  <c r="I29" i="5"/>
  <c r="I27" i="5"/>
  <c r="I25" i="5"/>
  <c r="I23" i="5"/>
  <c r="I21" i="5"/>
  <c r="I19" i="5"/>
  <c r="I17" i="5"/>
  <c r="I15" i="5"/>
  <c r="I13" i="5"/>
  <c r="I11" i="5"/>
  <c r="I9" i="5"/>
  <c r="I7" i="5"/>
  <c r="I5" i="5"/>
  <c r="L5" i="5"/>
  <c r="N44" i="5"/>
  <c r="O27" i="5"/>
  <c r="O16" i="5"/>
  <c r="O5" i="5"/>
  <c r="N37" i="5"/>
  <c r="N29" i="5"/>
  <c r="N20" i="5"/>
  <c r="N12" i="5"/>
  <c r="K35" i="5"/>
  <c r="K26" i="5"/>
  <c r="K18" i="5"/>
  <c r="K9" i="5"/>
  <c r="J43" i="5"/>
  <c r="J38" i="5"/>
  <c r="J34" i="5"/>
  <c r="J30" i="5"/>
  <c r="J26" i="5"/>
  <c r="J22" i="5"/>
  <c r="J18" i="5"/>
  <c r="J14" i="5"/>
  <c r="J10" i="5"/>
  <c r="J6" i="5"/>
  <c r="N42" i="5"/>
  <c r="O36" i="5"/>
  <c r="O31" i="5"/>
  <c r="O24" i="5"/>
  <c r="O18" i="5"/>
  <c r="O12" i="5"/>
  <c r="O6" i="5"/>
  <c r="N38" i="5"/>
  <c r="N30" i="5"/>
  <c r="N22" i="5"/>
  <c r="N15" i="5"/>
  <c r="N7" i="5"/>
  <c r="K40" i="5"/>
  <c r="K32" i="5"/>
  <c r="K25" i="5"/>
  <c r="K17" i="5"/>
  <c r="K10" i="5"/>
  <c r="K44" i="4"/>
  <c r="K42" i="4"/>
  <c r="K40" i="4"/>
  <c r="K38" i="4"/>
  <c r="K36" i="4"/>
  <c r="K34" i="4"/>
  <c r="O43" i="4"/>
  <c r="O39" i="4"/>
  <c r="O35" i="4"/>
  <c r="K32" i="4"/>
  <c r="O29" i="4"/>
  <c r="K27" i="4"/>
  <c r="K24" i="4"/>
  <c r="O21" i="4"/>
  <c r="K19" i="4"/>
  <c r="K16" i="4"/>
  <c r="O13" i="4"/>
  <c r="K11" i="4"/>
  <c r="K8" i="4"/>
  <c r="O5" i="4"/>
  <c r="J44" i="4"/>
  <c r="J41" i="4"/>
  <c r="N38" i="4"/>
  <c r="J36" i="4"/>
  <c r="J33" i="4"/>
  <c r="N30" i="4"/>
  <c r="J28" i="4"/>
  <c r="J25" i="4"/>
  <c r="N22" i="4"/>
  <c r="J20" i="4"/>
  <c r="J17" i="4"/>
  <c r="N14" i="4"/>
  <c r="J12" i="4"/>
  <c r="J9" i="4"/>
  <c r="N6" i="4"/>
  <c r="J4" i="4"/>
  <c r="L44" i="4"/>
  <c r="L38" i="4"/>
  <c r="L29" i="4"/>
  <c r="L16" i="4"/>
  <c r="I44" i="4"/>
  <c r="I36" i="4"/>
  <c r="I27" i="4"/>
  <c r="I15" i="4"/>
  <c r="I5" i="4"/>
  <c r="M42" i="4"/>
  <c r="M36" i="4"/>
  <c r="M31" i="4"/>
  <c r="M26" i="4"/>
  <c r="M20" i="4"/>
  <c r="M15" i="4"/>
  <c r="M10" i="4"/>
  <c r="M4" i="4"/>
  <c r="L32" i="4"/>
  <c r="L23" i="4"/>
  <c r="L14" i="4"/>
  <c r="L5" i="4"/>
  <c r="I39" i="4"/>
  <c r="I28" i="4"/>
  <c r="I16" i="4"/>
  <c r="I6" i="4"/>
  <c r="H39" i="4"/>
  <c r="H22" i="4"/>
  <c r="H17" i="4"/>
  <c r="H24" i="4"/>
  <c r="H27" i="4"/>
  <c r="H38" i="4"/>
  <c r="H37" i="4"/>
  <c r="L44" i="5"/>
  <c r="P41" i="5"/>
  <c r="L39" i="5"/>
  <c r="L36" i="5"/>
  <c r="P33" i="5"/>
  <c r="L31" i="5"/>
  <c r="L28" i="5"/>
  <c r="P25" i="5"/>
  <c r="L23" i="5"/>
  <c r="L20" i="5"/>
  <c r="P17" i="5"/>
  <c r="L15" i="5"/>
  <c r="L12" i="5"/>
  <c r="P9" i="5"/>
  <c r="P5" i="5"/>
  <c r="O42" i="5"/>
  <c r="I44" i="5"/>
  <c r="M41" i="5"/>
  <c r="M38" i="5"/>
  <c r="I36" i="5"/>
  <c r="M33" i="5"/>
  <c r="M30" i="5"/>
  <c r="I28" i="5"/>
  <c r="M25" i="5"/>
  <c r="M22" i="5"/>
  <c r="I20" i="5"/>
  <c r="M17" i="5"/>
  <c r="M14" i="5"/>
  <c r="I12" i="5"/>
  <c r="M9" i="5"/>
  <c r="M6" i="5"/>
  <c r="I4" i="5"/>
  <c r="L7" i="5"/>
  <c r="O44" i="5"/>
  <c r="O25" i="5"/>
  <c r="O10" i="5"/>
  <c r="N39" i="5"/>
  <c r="N27" i="5"/>
  <c r="N16" i="5"/>
  <c r="N5" i="5"/>
  <c r="K37" i="5"/>
  <c r="K24" i="5"/>
  <c r="K14" i="5"/>
  <c r="J37" i="5"/>
  <c r="J32" i="5"/>
  <c r="J27" i="5"/>
  <c r="J21" i="5"/>
  <c r="J16" i="5"/>
  <c r="J11" i="5"/>
  <c r="J5" i="5"/>
  <c r="O39" i="5"/>
  <c r="O32" i="5"/>
  <c r="O23" i="5"/>
  <c r="O15" i="5"/>
  <c r="O7" i="5"/>
  <c r="N36" i="5"/>
  <c r="N26" i="5"/>
  <c r="N17" i="5"/>
  <c r="N6" i="5"/>
  <c r="K36" i="5"/>
  <c r="K27" i="5"/>
  <c r="K15" i="5"/>
  <c r="K6" i="5"/>
  <c r="K43" i="4"/>
  <c r="K39" i="4"/>
  <c r="K35" i="4"/>
  <c r="O31" i="4"/>
  <c r="K29" i="4"/>
  <c r="K26" i="4"/>
  <c r="O23" i="4"/>
  <c r="K21" i="4"/>
  <c r="K18" i="4"/>
  <c r="O15" i="4"/>
  <c r="K13" i="4"/>
  <c r="K10" i="4"/>
  <c r="O7" i="4"/>
  <c r="K5" i="4"/>
  <c r="J43" i="4"/>
  <c r="N40" i="4"/>
  <c r="J38" i="4"/>
  <c r="J35" i="4"/>
  <c r="N32" i="4"/>
  <c r="J30" i="4"/>
  <c r="J27" i="4"/>
  <c r="N24" i="4"/>
  <c r="J22" i="4"/>
  <c r="J19" i="4"/>
  <c r="N16" i="4"/>
  <c r="J14" i="4"/>
  <c r="J11" i="4"/>
  <c r="N8" i="4"/>
  <c r="J6" i="4"/>
  <c r="L42" i="4"/>
  <c r="L37" i="4"/>
  <c r="L27" i="4"/>
  <c r="L10" i="4"/>
  <c r="I42" i="4"/>
  <c r="I34" i="4"/>
  <c r="I23" i="4"/>
  <c r="I13" i="4"/>
  <c r="I4" i="4"/>
  <c r="M40" i="4"/>
  <c r="M35" i="4"/>
  <c r="M30" i="4"/>
  <c r="M24" i="4"/>
  <c r="M19" i="4"/>
  <c r="M14" i="4"/>
  <c r="M8" i="4"/>
  <c r="L30" i="4"/>
  <c r="L21" i="4"/>
  <c r="L12" i="4"/>
  <c r="I37" i="4"/>
  <c r="I24" i="4"/>
  <c r="I14" i="4"/>
  <c r="H31" i="4"/>
  <c r="H14" i="4"/>
  <c r="H9" i="4"/>
  <c r="H16" i="4"/>
  <c r="H23" i="4"/>
  <c r="H34" i="4"/>
  <c r="H21" i="4"/>
  <c r="P43" i="5"/>
  <c r="L41" i="5"/>
  <c r="L38" i="5"/>
  <c r="P35" i="5"/>
  <c r="L33" i="5"/>
  <c r="L30" i="5"/>
  <c r="P27" i="5"/>
  <c r="L25" i="5"/>
  <c r="L22" i="5"/>
  <c r="P19" i="5"/>
  <c r="L17" i="5"/>
  <c r="L14" i="5"/>
  <c r="P11" i="5"/>
  <c r="L9" i="5"/>
  <c r="K42" i="5"/>
  <c r="M43" i="5"/>
  <c r="M40" i="5"/>
  <c r="I38" i="5"/>
  <c r="M35" i="5"/>
  <c r="M32" i="5"/>
  <c r="I30" i="5"/>
  <c r="M27" i="5"/>
  <c r="M24" i="5"/>
  <c r="I22" i="5"/>
  <c r="M19" i="5"/>
  <c r="M16" i="5"/>
  <c r="I14" i="5"/>
  <c r="M11" i="5"/>
  <c r="M8" i="5"/>
  <c r="I6" i="5"/>
  <c r="L6" i="5"/>
  <c r="O37" i="5"/>
  <c r="O22" i="5"/>
  <c r="O8" i="5"/>
  <c r="N35" i="5"/>
  <c r="N25" i="5"/>
  <c r="N14" i="5"/>
  <c r="K33" i="5"/>
  <c r="K22" i="5"/>
  <c r="K11" i="5"/>
  <c r="J41" i="5"/>
  <c r="J36" i="5"/>
  <c r="J31" i="5"/>
  <c r="J25" i="5"/>
  <c r="J20" i="5"/>
  <c r="J15" i="5"/>
  <c r="J9" i="5"/>
  <c r="J4" i="5"/>
  <c r="O38" i="5"/>
  <c r="O29" i="5"/>
  <c r="O21" i="5"/>
  <c r="O14" i="5"/>
  <c r="O4" i="5"/>
  <c r="N34" i="5"/>
  <c r="N24" i="5"/>
  <c r="N13" i="5"/>
  <c r="N4" i="5"/>
  <c r="K34" i="5"/>
  <c r="K23" i="5"/>
  <c r="K13" i="5"/>
  <c r="K4" i="5"/>
  <c r="O41" i="4"/>
  <c r="O37" i="4"/>
  <c r="O33" i="4"/>
  <c r="K31" i="4"/>
  <c r="K28" i="4"/>
  <c r="O25" i="4"/>
  <c r="K23" i="4"/>
  <c r="K20" i="4"/>
  <c r="O17" i="4"/>
  <c r="K15" i="4"/>
  <c r="K12" i="4"/>
  <c r="O9" i="4"/>
  <c r="K7" i="4"/>
  <c r="K4" i="4"/>
  <c r="N42" i="4"/>
  <c r="J40" i="4"/>
  <c r="J37" i="4"/>
  <c r="N34" i="4"/>
  <c r="J32" i="4"/>
  <c r="J29" i="4"/>
  <c r="N26" i="4"/>
  <c r="J24" i="4"/>
  <c r="J21" i="4"/>
  <c r="N18" i="4"/>
  <c r="J16" i="4"/>
  <c r="J13" i="4"/>
  <c r="N10" i="4"/>
  <c r="J8" i="4"/>
  <c r="J5" i="4"/>
  <c r="L41" i="4"/>
  <c r="L36" i="4"/>
  <c r="L20" i="4"/>
  <c r="L8" i="4"/>
  <c r="I41" i="4"/>
  <c r="I31" i="4"/>
  <c r="I21" i="4"/>
  <c r="I11" i="4"/>
  <c r="H40" i="4"/>
  <c r="M39" i="4"/>
  <c r="M34" i="4"/>
  <c r="M28" i="4"/>
  <c r="M23" i="4"/>
  <c r="M18" i="4"/>
  <c r="M12" i="4"/>
  <c r="M7" i="4"/>
  <c r="L26" i="4"/>
  <c r="L19" i="4"/>
  <c r="L11" i="4"/>
  <c r="I32" i="4"/>
  <c r="I22" i="4"/>
  <c r="I12" i="4"/>
  <c r="H42" i="4"/>
  <c r="H19" i="4"/>
  <c r="H6" i="4"/>
  <c r="H32" i="4"/>
  <c r="H12" i="4"/>
  <c r="H15" i="4"/>
  <c r="H18" i="4"/>
  <c r="H13" i="4"/>
  <c r="L43" i="5"/>
  <c r="L40" i="5"/>
  <c r="P37" i="5"/>
  <c r="L35" i="5"/>
  <c r="L32" i="5"/>
  <c r="P29" i="5"/>
  <c r="L27" i="5"/>
  <c r="L24" i="5"/>
  <c r="P21" i="5"/>
  <c r="L19" i="5"/>
  <c r="L16" i="5"/>
  <c r="P13" i="5"/>
  <c r="L11" i="5"/>
  <c r="L8" i="5"/>
  <c r="K44" i="5"/>
  <c r="O41" i="5"/>
  <c r="M42" i="5"/>
  <c r="I40" i="5"/>
  <c r="M37" i="5"/>
  <c r="M34" i="5"/>
  <c r="I32" i="5"/>
  <c r="M29" i="5"/>
  <c r="M26" i="5"/>
  <c r="I24" i="5"/>
  <c r="M21" i="5"/>
  <c r="M18" i="5"/>
  <c r="I16" i="5"/>
  <c r="M13" i="5"/>
  <c r="M10" i="5"/>
  <c r="I8" i="5"/>
  <c r="M5" i="5"/>
  <c r="L4" i="5"/>
  <c r="O33" i="5"/>
  <c r="O19" i="5"/>
  <c r="J44" i="5"/>
  <c r="N33" i="5"/>
  <c r="N23" i="5"/>
  <c r="K41" i="4"/>
  <c r="O27" i="4"/>
  <c r="K17" i="4"/>
  <c r="K6" i="4"/>
  <c r="N36" i="4"/>
  <c r="J26" i="4"/>
  <c r="J15" i="4"/>
  <c r="N4" i="4"/>
  <c r="L40" i="4"/>
  <c r="I38" i="4"/>
  <c r="M43" i="4"/>
  <c r="M22" i="4"/>
  <c r="L17" i="4"/>
  <c r="I43" i="4"/>
  <c r="H28" i="4"/>
  <c r="H5" i="4"/>
  <c r="L34" i="5"/>
  <c r="P23" i="5"/>
  <c r="L13" i="5"/>
  <c r="O43" i="5"/>
  <c r="M36" i="5"/>
  <c r="I26" i="5"/>
  <c r="M15" i="5"/>
  <c r="M4" i="5"/>
  <c r="N31" i="5"/>
  <c r="K28" i="5"/>
  <c r="K5" i="5"/>
  <c r="J35" i="5"/>
  <c r="J24" i="5"/>
  <c r="J13" i="5"/>
  <c r="O28" i="5"/>
  <c r="O11" i="5"/>
  <c r="N32" i="5"/>
  <c r="N11" i="5"/>
  <c r="K30" i="5"/>
  <c r="K12" i="5"/>
  <c r="K37" i="4"/>
  <c r="K25" i="4"/>
  <c r="K14" i="4"/>
  <c r="N44" i="4"/>
  <c r="J34" i="4"/>
  <c r="J23" i="4"/>
  <c r="N12" i="4"/>
  <c r="L31" i="4"/>
  <c r="I29" i="4"/>
  <c r="M38" i="4"/>
  <c r="M16" i="4"/>
  <c r="L7" i="4"/>
  <c r="I30" i="4"/>
  <c r="H41" i="4"/>
  <c r="H8" i="4"/>
  <c r="L42" i="5"/>
  <c r="P31" i="5"/>
  <c r="L21" i="5"/>
  <c r="L10" i="5"/>
  <c r="M44" i="5"/>
  <c r="I34" i="5"/>
  <c r="M23" i="5"/>
  <c r="M12" i="5"/>
  <c r="O30" i="5"/>
  <c r="N18" i="5"/>
  <c r="N41" i="5"/>
  <c r="K20" i="5"/>
  <c r="J33" i="5"/>
  <c r="J23" i="5"/>
  <c r="J12" i="5"/>
  <c r="O40" i="5"/>
  <c r="O26" i="5"/>
  <c r="O9" i="5"/>
  <c r="N28" i="5"/>
  <c r="N9" i="5"/>
  <c r="K29" i="5"/>
  <c r="K8" i="5"/>
  <c r="K33" i="4"/>
  <c r="K22" i="4"/>
  <c r="O11" i="4"/>
  <c r="J42" i="4"/>
  <c r="J31" i="4"/>
  <c r="N20" i="4"/>
  <c r="J10" i="4"/>
  <c r="L18" i="4"/>
  <c r="I19" i="4"/>
  <c r="M32" i="4"/>
  <c r="M11" i="4"/>
  <c r="L33" i="4"/>
  <c r="I20" i="4"/>
  <c r="H7" i="4"/>
  <c r="P39" i="5"/>
  <c r="L29" i="5"/>
  <c r="L18" i="5"/>
  <c r="P6" i="5"/>
  <c r="I42" i="5"/>
  <c r="M31" i="5"/>
  <c r="M20" i="5"/>
  <c r="I10" i="5"/>
  <c r="O13" i="5"/>
  <c r="N10" i="5"/>
  <c r="K39" i="5"/>
  <c r="K16" i="5"/>
  <c r="J40" i="5"/>
  <c r="J29" i="5"/>
  <c r="J19" i="5"/>
  <c r="J8" i="5"/>
  <c r="O35" i="5"/>
  <c r="O20" i="5"/>
  <c r="N21" i="5"/>
  <c r="N43" i="5"/>
  <c r="K21" i="5"/>
  <c r="K30" i="4"/>
  <c r="O19" i="4"/>
  <c r="K9" i="4"/>
  <c r="J39" i="4"/>
  <c r="N28" i="4"/>
  <c r="J18" i="4"/>
  <c r="J7" i="4"/>
  <c r="M44" i="4"/>
  <c r="L6" i="4"/>
  <c r="I7" i="4"/>
  <c r="M27" i="4"/>
  <c r="M6" i="4"/>
  <c r="L25" i="4"/>
  <c r="I8" i="4"/>
  <c r="H25" i="4"/>
  <c r="H10" i="4"/>
  <c r="L37" i="5"/>
  <c r="L26" i="5"/>
  <c r="P15" i="5"/>
  <c r="M39" i="5"/>
  <c r="M28" i="5"/>
  <c r="I18" i="5"/>
  <c r="M7" i="5"/>
  <c r="P7" i="5"/>
  <c r="N40" i="5"/>
  <c r="N8" i="5"/>
  <c r="K31" i="5"/>
  <c r="K7" i="5"/>
  <c r="J39" i="5"/>
  <c r="J28" i="5"/>
  <c r="J17" i="5"/>
  <c r="J7" i="5"/>
  <c r="O34" i="5"/>
  <c r="O17" i="5"/>
  <c r="J42" i="5"/>
  <c r="N19" i="5"/>
  <c r="K38" i="5"/>
  <c r="K19" i="5"/>
  <c r="F48" i="2"/>
  <c r="G39" i="2"/>
  <c r="G30" i="2"/>
  <c r="G21" i="2"/>
  <c r="G12" i="2"/>
  <c r="G49" i="2"/>
  <c r="F41" i="2"/>
  <c r="F32" i="2"/>
  <c r="F23" i="2"/>
  <c r="F14" i="2"/>
  <c r="G44" i="2"/>
  <c r="G36" i="2"/>
  <c r="G26" i="2"/>
  <c r="G17" i="2"/>
  <c r="G9" i="2"/>
  <c r="G46" i="2"/>
  <c r="F38" i="2"/>
  <c r="F29" i="2"/>
  <c r="F20" i="2"/>
  <c r="F11" i="2"/>
  <c r="G45" i="2"/>
  <c r="G37" i="2"/>
  <c r="G28" i="2"/>
  <c r="G18" i="2"/>
  <c r="G10" i="2"/>
  <c r="G47" i="2"/>
  <c r="F39" i="2"/>
  <c r="F30" i="2"/>
  <c r="F21" i="2"/>
  <c r="F12" i="2"/>
  <c r="F46" i="2"/>
  <c r="G42" i="2"/>
  <c r="G33" i="2"/>
  <c r="G15" i="2"/>
  <c r="G7" i="2"/>
  <c r="F44" i="2"/>
  <c r="F26" i="2"/>
  <c r="F9" i="2"/>
  <c r="G43" i="2"/>
  <c r="G34" i="2"/>
  <c r="G25" i="2"/>
  <c r="G16" i="2"/>
  <c r="G8" i="2"/>
  <c r="F45" i="2"/>
  <c r="F37" i="2"/>
  <c r="F28" i="2"/>
  <c r="F18" i="2"/>
  <c r="F10" i="2"/>
  <c r="F49" i="2"/>
  <c r="G40" i="2"/>
  <c r="G31" i="2"/>
  <c r="G22" i="2"/>
  <c r="G13" i="2"/>
  <c r="G50" i="2"/>
  <c r="F42" i="2"/>
  <c r="F33" i="2"/>
  <c r="F24" i="2"/>
  <c r="F15" i="2"/>
  <c r="F7" i="2"/>
  <c r="F50" i="2"/>
  <c r="G41" i="2"/>
  <c r="G32" i="2"/>
  <c r="G23" i="2"/>
  <c r="G14" i="2"/>
  <c r="F43" i="2"/>
  <c r="F34" i="2"/>
  <c r="F25" i="2"/>
  <c r="F16" i="2"/>
  <c r="F8" i="2"/>
  <c r="F47" i="2"/>
  <c r="G38" i="2"/>
  <c r="G29" i="2"/>
  <c r="G20" i="2"/>
  <c r="G11" i="2"/>
  <c r="G48" i="2"/>
  <c r="F40" i="2"/>
  <c r="F31" i="2"/>
  <c r="F22" i="2"/>
  <c r="F13" i="2"/>
  <c r="G24" i="2"/>
  <c r="F36" i="2"/>
  <c r="F17" i="2"/>
  <c r="J19" i="2"/>
  <c r="L19" i="2" s="1"/>
  <c r="I35" i="2"/>
  <c r="K35" i="2" s="1"/>
  <c r="I27" i="2"/>
  <c r="K27" i="2" s="1"/>
  <c r="K40" i="2"/>
  <c r="Q34" i="5"/>
  <c r="I51" i="2"/>
  <c r="I19" i="2"/>
  <c r="K19" i="2" s="1"/>
  <c r="J27" i="2"/>
  <c r="L27" i="2" s="1"/>
  <c r="J51" i="2"/>
  <c r="K48" i="2"/>
  <c r="Q42" i="5"/>
  <c r="K46" i="2"/>
  <c r="Q40" i="5"/>
  <c r="K34" i="2"/>
  <c r="Q29" i="5"/>
  <c r="K30" i="2"/>
  <c r="Q25" i="5"/>
  <c r="K18" i="2"/>
  <c r="Q15" i="5"/>
  <c r="K14" i="2"/>
  <c r="Q11" i="5"/>
  <c r="K10" i="2"/>
  <c r="Q7" i="5"/>
  <c r="K49" i="2"/>
  <c r="Q43" i="5"/>
  <c r="K45" i="2"/>
  <c r="Q39" i="5"/>
  <c r="K44" i="2"/>
  <c r="Q38" i="5"/>
  <c r="K50" i="2"/>
  <c r="Q44" i="5"/>
  <c r="K43" i="2"/>
  <c r="Q37" i="5"/>
  <c r="K41" i="2"/>
  <c r="Q35" i="5"/>
  <c r="K37" i="2"/>
  <c r="Q31" i="5"/>
  <c r="K32" i="2"/>
  <c r="Q27" i="5"/>
  <c r="K28" i="2"/>
  <c r="Q23" i="5"/>
  <c r="K25" i="2"/>
  <c r="Q21" i="5"/>
  <c r="K21" i="2"/>
  <c r="Q17" i="5"/>
  <c r="K16" i="2"/>
  <c r="Q13" i="5"/>
  <c r="K12" i="2"/>
  <c r="Q9" i="5"/>
  <c r="K8" i="2"/>
  <c r="Q5" i="5"/>
  <c r="K42" i="2"/>
  <c r="Q36" i="5"/>
  <c r="K38" i="2"/>
  <c r="Q32" i="5"/>
  <c r="K36" i="2"/>
  <c r="Q30" i="5"/>
  <c r="K33" i="2"/>
  <c r="Q28" i="5"/>
  <c r="K29" i="2"/>
  <c r="Q24" i="5"/>
  <c r="K26" i="2"/>
  <c r="Q22" i="5"/>
  <c r="K24" i="2"/>
  <c r="Q20" i="5"/>
  <c r="K22" i="2"/>
  <c r="Q18" i="5"/>
  <c r="K20" i="2"/>
  <c r="Q16" i="5"/>
  <c r="K17" i="2"/>
  <c r="Q14" i="5"/>
  <c r="K13" i="2"/>
  <c r="Q10" i="5"/>
  <c r="K9" i="2"/>
  <c r="Q6" i="5"/>
  <c r="K7" i="2"/>
  <c r="Q4" i="5"/>
  <c r="J35" i="2"/>
  <c r="L35" i="2" s="1"/>
  <c r="K31" i="2"/>
  <c r="L42" i="2"/>
  <c r="L29" i="2"/>
  <c r="K15" i="2"/>
  <c r="K6" i="2"/>
  <c r="L6" i="2"/>
  <c r="K23" i="2"/>
  <c r="L13" i="2"/>
  <c r="L45" i="2"/>
  <c r="L38" i="2"/>
  <c r="L46" i="2"/>
  <c r="L34" i="2"/>
  <c r="L10" i="2"/>
  <c r="L50" i="2"/>
  <c r="K47" i="2"/>
  <c r="K39" i="2"/>
  <c r="L22" i="2"/>
  <c r="L18" i="2"/>
  <c r="K11" i="2"/>
  <c r="L49" i="2"/>
  <c r="L21" i="2"/>
  <c r="L17" i="2"/>
  <c r="L48" i="2"/>
  <c r="L44" i="2"/>
  <c r="J52" i="2" l="1"/>
  <c r="L51" i="2"/>
  <c r="L52" i="2" s="1"/>
  <c r="I52" i="2"/>
  <c r="K51" i="2"/>
  <c r="K52" i="2" s="1"/>
  <c r="G19" i="2" l="1"/>
  <c r="H49" i="2"/>
  <c r="N49" i="2"/>
  <c r="M49" i="2"/>
  <c r="H45" i="2"/>
  <c r="N45" i="2"/>
  <c r="M45" i="2"/>
  <c r="M41" i="2"/>
  <c r="N41" i="2"/>
  <c r="H37" i="2"/>
  <c r="N37" i="2"/>
  <c r="M37" i="2"/>
  <c r="N32" i="2"/>
  <c r="M32" i="2"/>
  <c r="H32" i="2"/>
  <c r="F35" i="2"/>
  <c r="M28" i="2"/>
  <c r="H28" i="2"/>
  <c r="N28" i="2"/>
  <c r="N23" i="2"/>
  <c r="M23" i="2"/>
  <c r="H23" i="2"/>
  <c r="H18" i="2"/>
  <c r="M18" i="2"/>
  <c r="N18" i="2"/>
  <c r="N14" i="2"/>
  <c r="H14" i="2"/>
  <c r="M14" i="2"/>
  <c r="H10" i="2"/>
  <c r="M10" i="2"/>
  <c r="N10" i="2"/>
  <c r="G27" i="2"/>
  <c r="F19" i="2"/>
  <c r="H6" i="2"/>
  <c r="M6" i="2"/>
  <c r="N6" i="2"/>
  <c r="M48" i="2"/>
  <c r="H48" i="2"/>
  <c r="N48" i="2"/>
  <c r="M44" i="2"/>
  <c r="N44" i="2"/>
  <c r="H44" i="2"/>
  <c r="H40" i="2"/>
  <c r="N40" i="2"/>
  <c r="M40" i="2"/>
  <c r="F51" i="2"/>
  <c r="M36" i="2"/>
  <c r="H36" i="2"/>
  <c r="N36" i="2"/>
  <c r="M31" i="2"/>
  <c r="H31" i="2"/>
  <c r="N31" i="2"/>
  <c r="H26" i="2"/>
  <c r="N26" i="2"/>
  <c r="M26" i="2"/>
  <c r="N22" i="2"/>
  <c r="M22" i="2"/>
  <c r="H22" i="2"/>
  <c r="H17" i="2"/>
  <c r="M17" i="2"/>
  <c r="N17" i="2"/>
  <c r="H13" i="2"/>
  <c r="N13" i="2"/>
  <c r="M13" i="2"/>
  <c r="N9" i="2"/>
  <c r="H9" i="2"/>
  <c r="M9" i="2"/>
  <c r="H41" i="2"/>
  <c r="G35" i="2"/>
  <c r="H47" i="2"/>
  <c r="N47" i="2"/>
  <c r="M47" i="2"/>
  <c r="H43" i="2"/>
  <c r="M43" i="2"/>
  <c r="N43" i="2"/>
  <c r="M39" i="2"/>
  <c r="N39" i="2"/>
  <c r="H39" i="2"/>
  <c r="N34" i="2"/>
  <c r="M34" i="2"/>
  <c r="H34" i="2"/>
  <c r="H30" i="2"/>
  <c r="M30" i="2"/>
  <c r="N30" i="2"/>
  <c r="N25" i="2"/>
  <c r="M25" i="2"/>
  <c r="H25" i="2"/>
  <c r="M21" i="2"/>
  <c r="N21" i="2"/>
  <c r="H21" i="2"/>
  <c r="H16" i="2"/>
  <c r="N16" i="2"/>
  <c r="M16" i="2"/>
  <c r="N12" i="2"/>
  <c r="M12" i="2"/>
  <c r="H12" i="2"/>
  <c r="H8" i="2"/>
  <c r="N8" i="2"/>
  <c r="M8" i="2"/>
  <c r="M50" i="2"/>
  <c r="N50" i="2"/>
  <c r="H50" i="2"/>
  <c r="N46" i="2"/>
  <c r="M46" i="2"/>
  <c r="H46" i="2"/>
  <c r="N42" i="2"/>
  <c r="M42" i="2"/>
  <c r="H42" i="2"/>
  <c r="H38" i="2"/>
  <c r="M38" i="2"/>
  <c r="N38" i="2"/>
  <c r="H33" i="2"/>
  <c r="M33" i="2"/>
  <c r="N33" i="2"/>
  <c r="H29" i="2"/>
  <c r="N29" i="2"/>
  <c r="M29" i="2"/>
  <c r="N24" i="2"/>
  <c r="H24" i="2"/>
  <c r="M24" i="2"/>
  <c r="F27" i="2"/>
  <c r="M20" i="2"/>
  <c r="H20" i="2"/>
  <c r="N20" i="2"/>
  <c r="M15" i="2"/>
  <c r="N15" i="2"/>
  <c r="H15" i="2"/>
  <c r="H11" i="2"/>
  <c r="N11" i="2"/>
  <c r="M11" i="2"/>
  <c r="N7" i="2"/>
  <c r="H7" i="2"/>
  <c r="M7" i="2"/>
  <c r="G51" i="2"/>
  <c r="H35" i="2" l="1"/>
  <c r="G52" i="2"/>
  <c r="N27" i="2"/>
  <c r="M27" i="2"/>
  <c r="H27" i="2"/>
  <c r="N35" i="2"/>
  <c r="M35" i="2"/>
  <c r="H51" i="2"/>
  <c r="M51" i="2"/>
  <c r="F52" i="2"/>
  <c r="N51" i="2"/>
  <c r="N19" i="2"/>
  <c r="M19" i="2"/>
  <c r="H19" i="2"/>
  <c r="M52" i="2" l="1"/>
  <c r="N52" i="2"/>
  <c r="H52" i="2"/>
</calcChain>
</file>

<file path=xl/connections.xml><?xml version="1.0" encoding="utf-8"?>
<connections xmlns="http://schemas.openxmlformats.org/spreadsheetml/2006/main">
  <connection id="1" name="Beddays" type="1" refreshedVersion="4" background="1" saveData="1">
    <dbPr connection="DSN=PSD;Description=PSD;UID=RabbittsJ;Trusted_Connection=Yes;APP=Microsoft Office 2010;WSID=PC19814;DATABASE=PSD" command="SELECT KPI_C12.ind_id, KPI_C12.period_code, RTrim(KPI_C12.ward_code_original) as ward_code_original, Sum(KPI_C12.numerator) AS 'beddays_occupied', Sum(KPI_C12.denominator) AS 'beddays_available'_x000d__x000a_FROM PSD.dbo.KPI_C12 KPI_C12_x000d__x000a_WHERE (KPI_C12.period_code=201710)_x000d__x000a_GROUP BY KPI_C12.ind_id, KPI_C12.period_code, KPI_C12.ward_code_original"/>
  </connection>
</connections>
</file>

<file path=xl/sharedStrings.xml><?xml version="1.0" encoding="utf-8"?>
<sst xmlns="http://schemas.openxmlformats.org/spreadsheetml/2006/main" count="1060" uniqueCount="285">
  <si>
    <t>Name</t>
  </si>
  <si>
    <t>Day Reg Planned Hrs</t>
  </si>
  <si>
    <t>Day Reg Actual Hrs</t>
  </si>
  <si>
    <t>Day Unreg Planned Hrs</t>
  </si>
  <si>
    <t>Day Unreg Actual Hrs</t>
  </si>
  <si>
    <t>Night Reg Planned Hrs</t>
  </si>
  <si>
    <t>Night Reg Actual Hrs</t>
  </si>
  <si>
    <t>Night Unreg Planned Hrs</t>
  </si>
  <si>
    <t>Night Unreg Actual Hrs</t>
  </si>
  <si>
    <t>Day Reg Fill Rate</t>
  </si>
  <si>
    <t>Day Unreg Fill Rate</t>
  </si>
  <si>
    <t>Night Reg Fill Rate</t>
  </si>
  <si>
    <t>Night Unreg Fill Rate</t>
  </si>
  <si>
    <t>A515 109008</t>
  </si>
  <si>
    <t>A605 127811</t>
  </si>
  <si>
    <t>A522 109011</t>
  </si>
  <si>
    <t>A528 109005</t>
  </si>
  <si>
    <t>C808 125906</t>
  </si>
  <si>
    <t>A518 127810</t>
  </si>
  <si>
    <t>A400 127808</t>
  </si>
  <si>
    <t>A300 127809</t>
  </si>
  <si>
    <t>A900 127807</t>
  </si>
  <si>
    <t>A524 109012</t>
  </si>
  <si>
    <t>A525 127817</t>
  </si>
  <si>
    <t>Ward 100 127050</t>
  </si>
  <si>
    <t>Ward 200 127051</t>
  </si>
  <si>
    <t>C805 BHI Cardiology 101953</t>
  </si>
  <si>
    <t>C603 Coronary Care Unit 109007</t>
  </si>
  <si>
    <t>C708 101952</t>
  </si>
  <si>
    <t>C705 101951</t>
  </si>
  <si>
    <t>C604 (CICU Cardiac Intensive Care) 101141</t>
  </si>
  <si>
    <t>D603 Ward 61 104008</t>
  </si>
  <si>
    <t>D703 Ward 62 104009</t>
  </si>
  <si>
    <t>Ward 35 102034</t>
  </si>
  <si>
    <t>Ward 37 102240</t>
  </si>
  <si>
    <t>Ward 30 102251</t>
  </si>
  <si>
    <t>Ward 34 102260</t>
  </si>
  <si>
    <t>Ward 31 102041</t>
  </si>
  <si>
    <t>Ward 33 102262</t>
  </si>
  <si>
    <t>Ward 32 102033</t>
  </si>
  <si>
    <t>PICU 102043</t>
  </si>
  <si>
    <t>Ward 38 102266</t>
  </si>
  <si>
    <t>Ward 76 102075</t>
  </si>
  <si>
    <t>CDS - Ward 77 102068</t>
  </si>
  <si>
    <t>Ward 73 102074</t>
  </si>
  <si>
    <t>Midwifery Led Unit 102177</t>
  </si>
  <si>
    <t>Ward 78 102078</t>
  </si>
  <si>
    <t>NICU 102077</t>
  </si>
  <si>
    <t>A700 101189</t>
  </si>
  <si>
    <t>A600 101107</t>
  </si>
  <si>
    <t>A800 101190</t>
  </si>
  <si>
    <t>A604 101192</t>
  </si>
  <si>
    <t>A609 101193</t>
  </si>
  <si>
    <t>A602 101179</t>
  </si>
  <si>
    <t>Gloucester 103101</t>
  </si>
  <si>
    <t>Diff</t>
  </si>
  <si>
    <t xml:space="preserve">Total Actual </t>
  </si>
  <si>
    <t>Total Planned</t>
  </si>
  <si>
    <t xml:space="preserve">Total Fill </t>
  </si>
  <si>
    <t>Total Diff</t>
  </si>
  <si>
    <t xml:space="preserve">Medicine Total </t>
  </si>
  <si>
    <t xml:space="preserve">Specialised ServicesTotal </t>
  </si>
  <si>
    <t xml:space="preserve">Surgery Total </t>
  </si>
  <si>
    <t xml:space="preserve">Trust Total </t>
  </si>
  <si>
    <t>Code</t>
  </si>
  <si>
    <t>125906</t>
  </si>
  <si>
    <t>127809</t>
  </si>
  <si>
    <t>127808</t>
  </si>
  <si>
    <t>109008</t>
  </si>
  <si>
    <t>127810</t>
  </si>
  <si>
    <t>109011</t>
  </si>
  <si>
    <t>109012</t>
  </si>
  <si>
    <t>127817</t>
  </si>
  <si>
    <t>109005</t>
  </si>
  <si>
    <t>127811</t>
  </si>
  <si>
    <t>127807</t>
  </si>
  <si>
    <t>127050</t>
  </si>
  <si>
    <t>127051</t>
  </si>
  <si>
    <t>109007</t>
  </si>
  <si>
    <t>101141</t>
  </si>
  <si>
    <t>101951</t>
  </si>
  <si>
    <t>101952</t>
  </si>
  <si>
    <t>101953</t>
  </si>
  <si>
    <t>104008</t>
  </si>
  <si>
    <t>104009</t>
  </si>
  <si>
    <t>103101</t>
  </si>
  <si>
    <t>101107</t>
  </si>
  <si>
    <t>101179</t>
  </si>
  <si>
    <t>101192</t>
  </si>
  <si>
    <t>101193</t>
  </si>
  <si>
    <t>101189</t>
  </si>
  <si>
    <t>101190</t>
  </si>
  <si>
    <t>102043</t>
  </si>
  <si>
    <t>102251</t>
  </si>
  <si>
    <t>102041</t>
  </si>
  <si>
    <t>102033</t>
  </si>
  <si>
    <t>102262</t>
  </si>
  <si>
    <t>102260</t>
  </si>
  <si>
    <t>102034</t>
  </si>
  <si>
    <t>102240</t>
  </si>
  <si>
    <t>102266</t>
  </si>
  <si>
    <t>102177</t>
  </si>
  <si>
    <t>102074</t>
  </si>
  <si>
    <t>102077</t>
  </si>
  <si>
    <t>102075</t>
  </si>
  <si>
    <t>102068</t>
  </si>
  <si>
    <t>102078</t>
  </si>
  <si>
    <t>C808</t>
  </si>
  <si>
    <t>A300</t>
  </si>
  <si>
    <t>A400</t>
  </si>
  <si>
    <t>A515</t>
  </si>
  <si>
    <t>A518</t>
  </si>
  <si>
    <t>A522</t>
  </si>
  <si>
    <t>A524</t>
  </si>
  <si>
    <t>A525</t>
  </si>
  <si>
    <t>A528</t>
  </si>
  <si>
    <t>A605</t>
  </si>
  <si>
    <t>A900</t>
  </si>
  <si>
    <t>100</t>
  </si>
  <si>
    <t>200</t>
  </si>
  <si>
    <t>C603</t>
  </si>
  <si>
    <t>C604</t>
  </si>
  <si>
    <t>C705</t>
  </si>
  <si>
    <t>C708</t>
  </si>
  <si>
    <t>C805</t>
  </si>
  <si>
    <t>D603</t>
  </si>
  <si>
    <t>D703</t>
  </si>
  <si>
    <t>H304A</t>
  </si>
  <si>
    <t>A600</t>
  </si>
  <si>
    <t>A602</t>
  </si>
  <si>
    <t>A604</t>
  </si>
  <si>
    <t>A609</t>
  </si>
  <si>
    <t>A700</t>
  </si>
  <si>
    <t>A800</t>
  </si>
  <si>
    <t>PICU</t>
  </si>
  <si>
    <t>30</t>
  </si>
  <si>
    <t>31</t>
  </si>
  <si>
    <t>32</t>
  </si>
  <si>
    <t>33</t>
  </si>
  <si>
    <t>34</t>
  </si>
  <si>
    <t>35</t>
  </si>
  <si>
    <t>37</t>
  </si>
  <si>
    <t>38</t>
  </si>
  <si>
    <t>MLU</t>
  </si>
  <si>
    <t>73</t>
  </si>
  <si>
    <t>75</t>
  </si>
  <si>
    <t>76</t>
  </si>
  <si>
    <t>77</t>
  </si>
  <si>
    <t>78</t>
  </si>
  <si>
    <t>CC Code</t>
  </si>
  <si>
    <t>Occupied</t>
  </si>
  <si>
    <t>Available</t>
  </si>
  <si>
    <t>ind_id</t>
  </si>
  <si>
    <t>period_code</t>
  </si>
  <si>
    <t>ward_code_original</t>
  </si>
  <si>
    <t>beddays_occupied</t>
  </si>
  <si>
    <t>beddays_available</t>
  </si>
  <si>
    <t>C12</t>
  </si>
  <si>
    <t>38A</t>
  </si>
  <si>
    <t>39</t>
  </si>
  <si>
    <t>77A</t>
  </si>
  <si>
    <t>A332A</t>
  </si>
  <si>
    <t>A414</t>
  </si>
  <si>
    <t>A608A</t>
  </si>
  <si>
    <t>B301</t>
  </si>
  <si>
    <t>D1</t>
  </si>
  <si>
    <t>P1</t>
  </si>
  <si>
    <t>SDU</t>
  </si>
  <si>
    <t>SSU</t>
  </si>
  <si>
    <t>33A</t>
  </si>
  <si>
    <t>33B</t>
  </si>
  <si>
    <t>38B</t>
  </si>
  <si>
    <t>A516</t>
  </si>
  <si>
    <t>A606</t>
  </si>
  <si>
    <t>37D</t>
  </si>
  <si>
    <t>A300A</t>
  </si>
  <si>
    <t>Hours</t>
  </si>
  <si>
    <t>Actual</t>
  </si>
  <si>
    <t>Plan</t>
  </si>
  <si>
    <t>Fill Rate</t>
  </si>
  <si>
    <t>Beddays (Total)</t>
  </si>
  <si>
    <t>Days In Month</t>
  </si>
  <si>
    <t>Average Daily</t>
  </si>
  <si>
    <t>CHPPD</t>
  </si>
  <si>
    <t>Cost Centre</t>
  </si>
  <si>
    <t>Ward</t>
  </si>
  <si>
    <t>Women's and Children's Total</t>
  </si>
  <si>
    <t>Trust Total</t>
  </si>
  <si>
    <t>Div</t>
  </si>
  <si>
    <t>MDC</t>
  </si>
  <si>
    <t>SPS</t>
  </si>
  <si>
    <t>SHN</t>
  </si>
  <si>
    <t>WAC</t>
  </si>
  <si>
    <t>Site</t>
  </si>
  <si>
    <t>BRI</t>
  </si>
  <si>
    <t>SBH</t>
  </si>
  <si>
    <t>BOC</t>
  </si>
  <si>
    <t>BEH</t>
  </si>
  <si>
    <t>BCH</t>
  </si>
  <si>
    <t>STM</t>
  </si>
  <si>
    <t>Dir</t>
  </si>
  <si>
    <t>CAR</t>
  </si>
  <si>
    <t>ONC</t>
  </si>
  <si>
    <t>ITU</t>
  </si>
  <si>
    <t>TOR</t>
  </si>
  <si>
    <t>GIS</t>
  </si>
  <si>
    <t>ENT</t>
  </si>
  <si>
    <t>CHI</t>
  </si>
  <si>
    <t>WOM</t>
  </si>
  <si>
    <t>RN Day</t>
  </si>
  <si>
    <t>RN Night</t>
  </si>
  <si>
    <t>NA Day</t>
  </si>
  <si>
    <t>NA Night</t>
  </si>
  <si>
    <t>Period</t>
  </si>
  <si>
    <t>RA701</t>
  </si>
  <si>
    <t>Bristol Royal Infirmary - RA701</t>
  </si>
  <si>
    <t>300 - GENERAL MEDICINE</t>
  </si>
  <si>
    <t>CICU</t>
  </si>
  <si>
    <t>170 - CARDIOTHORACIC SURGERY</t>
  </si>
  <si>
    <t/>
  </si>
  <si>
    <t>2</t>
  </si>
  <si>
    <t>100 - GENERAL SURGERY</t>
  </si>
  <si>
    <t>9</t>
  </si>
  <si>
    <t>18</t>
  </si>
  <si>
    <t>110 - TRAUMA &amp; ORTHOPAEDICS</t>
  </si>
  <si>
    <t>14</t>
  </si>
  <si>
    <t>320 - CARDIOLOGY</t>
  </si>
  <si>
    <t>RA723</t>
  </si>
  <si>
    <t>Bristol Royal Hospital For Children - RA723</t>
  </si>
  <si>
    <t>321 - PAEDIATRIC CARDIOLOGY</t>
  </si>
  <si>
    <t>420 - PAEDIATRICS</t>
  </si>
  <si>
    <t>171 - PAEDIATRIC SURGERY</t>
  </si>
  <si>
    <t>74</t>
  </si>
  <si>
    <t>RA707</t>
  </si>
  <si>
    <t>St Michael's Hospital - RA707</t>
  </si>
  <si>
    <t>501 - OBSTETRICS</t>
  </si>
  <si>
    <t>502 - GYNAECOLOGY</t>
  </si>
  <si>
    <t>361 - NEPHROLOGY</t>
  </si>
  <si>
    <t>421 - PAEDIATRIC NEUROLOGY</t>
  </si>
  <si>
    <t>800 - CLINICAL ONCOLOGY</t>
  </si>
  <si>
    <t>823 - HAEMATOLOGY</t>
  </si>
  <si>
    <t>41</t>
  </si>
  <si>
    <t>RA708</t>
  </si>
  <si>
    <t>Bristol Eye Hospital - RA708</t>
  </si>
  <si>
    <t>130 - OPHTHALMOLOGY</t>
  </si>
  <si>
    <t>RA710</t>
  </si>
  <si>
    <t>Bristol Haematology and Oncology Centre - RA710</t>
  </si>
  <si>
    <t>303 - CLINICAL HAEMATOLOGY</t>
  </si>
  <si>
    <t>23</t>
  </si>
  <si>
    <t>430 - GERIATRIC MEDICINE</t>
  </si>
  <si>
    <t>B404</t>
  </si>
  <si>
    <t>17</t>
  </si>
  <si>
    <t>21</t>
  </si>
  <si>
    <t>26</t>
  </si>
  <si>
    <t>12</t>
  </si>
  <si>
    <t>4</t>
  </si>
  <si>
    <t>RA773</t>
  </si>
  <si>
    <t>South Bristol Community Hospital - RA773</t>
  </si>
  <si>
    <t>314 - REHABILITATION</t>
  </si>
  <si>
    <t>B401</t>
  </si>
  <si>
    <t>B501</t>
  </si>
  <si>
    <t>B504</t>
  </si>
  <si>
    <t>Day</t>
  </si>
  <si>
    <t>RN Exp</t>
  </si>
  <si>
    <t>RN Act</t>
  </si>
  <si>
    <t>NA Exp</t>
  </si>
  <si>
    <t>NA Act</t>
  </si>
  <si>
    <t>Night</t>
  </si>
  <si>
    <t>Specialised Services Total</t>
  </si>
  <si>
    <t>A520A</t>
  </si>
  <si>
    <t>DAU</t>
  </si>
  <si>
    <t>H304 103101</t>
  </si>
  <si>
    <t>A413</t>
  </si>
  <si>
    <t>C602</t>
  </si>
  <si>
    <t>D2</t>
  </si>
  <si>
    <t>D502A</t>
  </si>
  <si>
    <t xml:space="preserve">Childrens Total </t>
  </si>
  <si>
    <t xml:space="preserve">Womens Total </t>
  </si>
  <si>
    <t>95A</t>
  </si>
  <si>
    <t>36</t>
  </si>
  <si>
    <t>39O</t>
  </si>
  <si>
    <t>A512</t>
  </si>
  <si>
    <t>D505A</t>
  </si>
  <si>
    <t>Head of Nursing Comments where the total fill rate is  75% or less</t>
  </si>
  <si>
    <t>The activity was lower than expected and the staffing and bed base was flexed accordingly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</si>
</sst>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i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color theme="0" tint="-0.34998626667073579"/>
      <name val="Calibri"/>
      <family val="2"/>
    </font>
    <font>
      <sz val="11"/>
      <color theme="0" tint="-0.499984740745262"/>
      <name val="Calibri"/>
      <family val="2"/>
    </font>
    <font>
      <b/>
      <sz val="11"/>
      <color theme="0" tint="-0.49998474074526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9" fontId="6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2" fillId="0" borderId="0" xfId="0" applyFont="1"/>
    <xf numFmtId="0" fontId="0" fillId="3" borderId="2" xfId="0" applyFill="1" applyBorder="1" applyAlignment="1">
      <alignment wrapText="1"/>
    </xf>
    <xf numFmtId="1" fontId="0" fillId="3" borderId="3" xfId="0" applyNumberFormat="1" applyFill="1" applyBorder="1" applyAlignment="1">
      <alignment horizontal="center" wrapText="1"/>
    </xf>
    <xf numFmtId="9" fontId="0" fillId="3" borderId="3" xfId="0" applyNumberFormat="1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" fontId="0" fillId="3" borderId="4" xfId="0" applyNumberFormat="1" applyFill="1" applyBorder="1" applyAlignment="1">
      <alignment horizontal="center" wrapText="1"/>
    </xf>
    <xf numFmtId="0" fontId="1" fillId="0" borderId="0" xfId="1"/>
    <xf numFmtId="0" fontId="3" fillId="0" borderId="0" xfId="1" applyFont="1"/>
    <xf numFmtId="0" fontId="1" fillId="0" borderId="0" xfId="1" quotePrefix="1"/>
    <xf numFmtId="0" fontId="4" fillId="0" borderId="0" xfId="0" applyFont="1" applyAlignment="1">
      <alignment horizontal="right"/>
    </xf>
    <xf numFmtId="0" fontId="2" fillId="2" borderId="7" xfId="0" applyFont="1" applyFill="1" applyBorder="1" applyAlignment="1">
      <alignment horizontal="center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quotePrefix="1" applyBorder="1"/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2" fillId="5" borderId="8" xfId="0" applyFont="1" applyFill="1" applyBorder="1"/>
    <xf numFmtId="0" fontId="5" fillId="0" borderId="0" xfId="0" applyFont="1"/>
    <xf numFmtId="0" fontId="2" fillId="5" borderId="9" xfId="0" applyFont="1" applyFill="1" applyBorder="1"/>
    <xf numFmtId="0" fontId="2" fillId="5" borderId="6" xfId="0" applyFont="1" applyFill="1" applyBorder="1"/>
    <xf numFmtId="164" fontId="2" fillId="5" borderId="10" xfId="0" applyNumberFormat="1" applyFont="1" applyFill="1" applyBorder="1" applyAlignment="1">
      <alignment horizontal="center"/>
    </xf>
    <xf numFmtId="3" fontId="2" fillId="5" borderId="11" xfId="0" applyNumberFormat="1" applyFont="1" applyFill="1" applyBorder="1" applyAlignment="1">
      <alignment horizontal="center"/>
    </xf>
    <xf numFmtId="165" fontId="2" fillId="5" borderId="12" xfId="0" applyNumberFormat="1" applyFont="1" applyFill="1" applyBorder="1" applyAlignment="1">
      <alignment horizontal="center"/>
    </xf>
    <xf numFmtId="3" fontId="2" fillId="5" borderId="12" xfId="0" applyNumberFormat="1" applyFont="1" applyFill="1" applyBorder="1" applyAlignment="1">
      <alignment horizontal="center"/>
    </xf>
    <xf numFmtId="4" fontId="2" fillId="5" borderId="10" xfId="0" applyNumberFormat="1" applyFont="1" applyFill="1" applyBorder="1" applyAlignment="1">
      <alignment horizontal="center"/>
    </xf>
    <xf numFmtId="4" fontId="2" fillId="5" borderId="12" xfId="0" applyNumberFormat="1" applyFont="1" applyFill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6" xfId="0" applyFont="1" applyBorder="1"/>
    <xf numFmtId="165" fontId="5" fillId="0" borderId="12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3" fontId="2" fillId="5" borderId="10" xfId="0" applyNumberFormat="1" applyFont="1" applyFill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3" fontId="5" fillId="0" borderId="12" xfId="0" applyNumberFormat="1" applyFont="1" applyBorder="1" applyAlignment="1">
      <alignment horizontal="center"/>
    </xf>
    <xf numFmtId="4" fontId="5" fillId="0" borderId="1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8" xfId="0" applyBorder="1"/>
    <xf numFmtId="0" fontId="0" fillId="0" borderId="8" xfId="0" quotePrefix="1" applyBorder="1"/>
    <xf numFmtId="0" fontId="0" fillId="0" borderId="0" xfId="0" quotePrefix="1"/>
    <xf numFmtId="0" fontId="0" fillId="0" borderId="0" xfId="0" applyBorder="1"/>
    <xf numFmtId="0" fontId="0" fillId="0" borderId="0" xfId="0" applyBorder="1" applyAlignment="1" applyProtection="1">
      <alignment horizontal="left" vertical="center" wrapText="1"/>
      <protection locked="0"/>
    </xf>
    <xf numFmtId="1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10" fontId="0" fillId="4" borderId="1" xfId="0" applyNumberFormat="1" applyFill="1" applyBorder="1" applyAlignment="1">
      <alignment horizontal="center"/>
    </xf>
    <xf numFmtId="9" fontId="0" fillId="4" borderId="1" xfId="2" applyFont="1" applyFill="1" applyBorder="1" applyAlignment="1">
      <alignment horizontal="center"/>
    </xf>
    <xf numFmtId="0" fontId="7" fillId="0" borderId="0" xfId="0" applyFont="1"/>
    <xf numFmtId="0" fontId="6" fillId="0" borderId="1" xfId="0" quotePrefix="1" applyFont="1" applyBorder="1"/>
    <xf numFmtId="1" fontId="8" fillId="0" borderId="0" xfId="0" applyNumberFormat="1" applyFont="1" applyAlignment="1">
      <alignment horizontal="center"/>
    </xf>
    <xf numFmtId="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2" fillId="4" borderId="1" xfId="0" applyFont="1" applyFill="1" applyBorder="1"/>
    <xf numFmtId="1" fontId="2" fillId="4" borderId="1" xfId="0" applyNumberFormat="1" applyFont="1" applyFill="1" applyBorder="1" applyAlignment="1">
      <alignment horizontal="center"/>
    </xf>
    <xf numFmtId="9" fontId="2" fillId="4" borderId="1" xfId="0" applyNumberFormat="1" applyFont="1" applyFill="1" applyBorder="1" applyAlignment="1">
      <alignment horizontal="center"/>
    </xf>
    <xf numFmtId="9" fontId="2" fillId="4" borderId="1" xfId="2" applyFont="1" applyFill="1" applyBorder="1" applyAlignment="1">
      <alignment horizontal="center"/>
    </xf>
    <xf numFmtId="0" fontId="1" fillId="0" borderId="0" xfId="1" applyFill="1"/>
    <xf numFmtId="1" fontId="8" fillId="3" borderId="5" xfId="0" applyNumberFormat="1" applyFont="1" applyFill="1" applyBorder="1" applyAlignment="1">
      <alignment horizontal="center" wrapText="1"/>
    </xf>
    <xf numFmtId="1" fontId="8" fillId="3" borderId="3" xfId="0" applyNumberFormat="1" applyFont="1" applyFill="1" applyBorder="1" applyAlignment="1">
      <alignment horizontal="center" wrapText="1"/>
    </xf>
    <xf numFmtId="9" fontId="8" fillId="3" borderId="3" xfId="0" applyNumberFormat="1" applyFont="1" applyFill="1" applyBorder="1" applyAlignment="1">
      <alignment horizontal="center" wrapText="1"/>
    </xf>
    <xf numFmtId="1" fontId="8" fillId="3" borderId="4" xfId="0" applyNumberFormat="1" applyFont="1" applyFill="1" applyBorder="1" applyAlignment="1">
      <alignment horizontal="center" wrapText="1"/>
    </xf>
    <xf numFmtId="1" fontId="8" fillId="0" borderId="1" xfId="0" applyNumberFormat="1" applyFont="1" applyBorder="1" applyAlignment="1">
      <alignment horizontal="center"/>
    </xf>
    <xf numFmtId="9" fontId="8" fillId="0" borderId="1" xfId="0" applyNumberFormat="1" applyFont="1" applyBorder="1" applyAlignment="1">
      <alignment horizontal="center"/>
    </xf>
    <xf numFmtId="1" fontId="8" fillId="4" borderId="1" xfId="0" applyNumberFormat="1" applyFont="1" applyFill="1" applyBorder="1" applyAlignment="1">
      <alignment horizontal="center"/>
    </xf>
    <xf numFmtId="9" fontId="8" fillId="4" borderId="1" xfId="0" applyNumberFormat="1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9" fontId="9" fillId="4" borderId="1" xfId="0" applyNumberFormat="1" applyFont="1" applyFill="1" applyBorder="1" applyAlignment="1">
      <alignment horizontal="center"/>
    </xf>
    <xf numFmtId="0" fontId="8" fillId="0" borderId="0" xfId="0" applyFont="1"/>
    <xf numFmtId="3" fontId="8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17" fontId="0" fillId="0" borderId="0" xfId="0" applyNumberFormat="1"/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3" xfId="0" applyNumberFormat="1" applyFont="1" applyBorder="1" applyAlignment="1">
      <alignment horizontal="left" vertical="top" wrapText="1"/>
    </xf>
  </cellXfs>
  <cellStyles count="3">
    <cellStyle name="Normal" xfId="0" builtinId="0"/>
    <cellStyle name="Normal 2" xfId="1"/>
    <cellStyle name="Percent" xfId="2" builtinId="5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9525</xdr:colOff>
      <xdr:row>2</xdr:row>
      <xdr:rowOff>9525</xdr:rowOff>
    </xdr:from>
    <xdr:to>
      <xdr:col>24</xdr:col>
      <xdr:colOff>428625</xdr:colOff>
      <xdr:row>2</xdr:row>
      <xdr:rowOff>19050</xdr:rowOff>
    </xdr:to>
    <xdr:pic>
      <xdr:nvPicPr>
        <xdr:cNvPr id="2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390525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3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4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5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6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7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8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9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0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1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2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3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4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5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6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7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8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19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0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1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2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3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4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5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6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7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8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9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0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1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2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3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4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5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6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7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8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9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0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1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2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3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2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3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4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5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6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7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8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9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0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1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2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3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4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5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6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7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8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19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0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1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2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3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4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5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6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7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8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9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0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1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2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3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4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5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6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7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8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9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0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1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2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3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Query from PSD" connectionId="1" autoFormatId="16" applyNumberFormats="0" applyBorderFormats="0" applyFontFormats="0" applyPatternFormats="0" applyAlignmentFormats="0" applyWidthHeightFormats="0">
  <queryTableRefresh nextId="9">
    <queryTableFields count="5">
      <queryTableField id="1" name="ind_id" tableColumnId="1"/>
      <queryTableField id="2" name="period_code" tableColumnId="2"/>
      <queryTableField id="7" name="ward_code_original" tableColumnId="7"/>
      <queryTableField id="4" name="beddays_occupied" tableColumnId="4"/>
      <queryTableField id="5" name="beddays_availabl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Query_from_PSD" displayName="Table_Query_from_PSD" ref="A1:E71" tableType="queryTable" totalsRowShown="0" headerRowDxfId="0">
  <autoFilter ref="A1:E71"/>
  <tableColumns count="5">
    <tableColumn id="1" uniqueName="1" name="ind_id" queryTableFieldId="1" dataCellStyle="Normal 2"/>
    <tableColumn id="2" uniqueName="2" name="period_code" queryTableFieldId="2" dataCellStyle="Normal 2"/>
    <tableColumn id="7" uniqueName="7" name="ward_code_original" queryTableFieldId="7" dataCellStyle="Normal 2"/>
    <tableColumn id="4" uniqueName="4" name="beddays_occupied" queryTableFieldId="4" dataCellStyle="Normal 2"/>
    <tableColumn id="5" uniqueName="5" name="beddays_available" queryTableFieldId="5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topLeftCell="A4" workbookViewId="0">
      <selection activeCell="Q3" sqref="Q3:Q44"/>
    </sheetView>
  </sheetViews>
  <sheetFormatPr defaultRowHeight="15"/>
  <cols>
    <col min="2" max="2" width="38.5703125" bestFit="1" customWidth="1"/>
    <col min="26" max="26" width="26" customWidth="1"/>
  </cols>
  <sheetData>
    <row r="1" spans="1:27">
      <c r="I1" t="s">
        <v>262</v>
      </c>
      <c r="M1" t="s">
        <v>267</v>
      </c>
    </row>
    <row r="2" spans="1:27">
      <c r="A2" s="20" t="s">
        <v>149</v>
      </c>
      <c r="B2" s="20" t="s">
        <v>184</v>
      </c>
      <c r="C2" s="58" t="s">
        <v>185</v>
      </c>
      <c r="I2" t="s">
        <v>263</v>
      </c>
      <c r="J2" t="s">
        <v>264</v>
      </c>
      <c r="K2" t="s">
        <v>265</v>
      </c>
      <c r="L2" t="s">
        <v>266</v>
      </c>
      <c r="M2" t="s">
        <v>263</v>
      </c>
      <c r="N2" t="s">
        <v>264</v>
      </c>
      <c r="O2" t="s">
        <v>265</v>
      </c>
      <c r="P2" t="s">
        <v>266</v>
      </c>
      <c r="Q2" t="s">
        <v>183</v>
      </c>
      <c r="W2" s="61" t="s">
        <v>114</v>
      </c>
      <c r="X2" t="s">
        <v>214</v>
      </c>
      <c r="Y2" t="s">
        <v>215</v>
      </c>
      <c r="Z2" t="s">
        <v>216</v>
      </c>
    </row>
    <row r="3" spans="1:27">
      <c r="A3" s="22" t="s">
        <v>65</v>
      </c>
      <c r="B3" s="22" t="s">
        <v>17</v>
      </c>
      <c r="C3" s="22" t="s">
        <v>107</v>
      </c>
      <c r="D3" t="str">
        <f t="shared" ref="D3:D44" si="0">VLOOKUP($C3,$W$2:$AB$72,2,FALSE)</f>
        <v>RA701</v>
      </c>
      <c r="E3" t="str">
        <f t="shared" ref="E3:E44" si="1">VLOOKUP($C3,$W$2:$AB$72,3,FALSE)</f>
        <v>Bristol Royal Infirmary - RA701</v>
      </c>
      <c r="F3" t="str">
        <f>$C3</f>
        <v>C808</v>
      </c>
      <c r="G3" t="str">
        <f t="shared" ref="G3:G44" si="2">VLOOKUP($C3,$W$2:$AB$72,4,FALSE)</f>
        <v>300 - GENERAL MEDICINE</v>
      </c>
      <c r="H3" t="str">
        <f t="shared" ref="H3:H44" si="3">IF(VLOOKUP($C3,$W$2:$AB$72,5,FALSE)=0,"",VLOOKUP($C3,$W$2:$AB$72,5,FALSE))</f>
        <v/>
      </c>
      <c r="I3">
        <f>VLOOKUP($A3,'Unify Report'!$A$1:$V$99,4,FALSE)</f>
        <v>1389.5</v>
      </c>
      <c r="J3">
        <f>VLOOKUP($A3,'Unify Report'!$A$1:$V$99,3,FALSE)</f>
        <v>1389</v>
      </c>
      <c r="K3">
        <f>VLOOKUP($A3,'Unify Report'!$A$1:$V$99,8,FALSE)</f>
        <v>1097</v>
      </c>
      <c r="L3">
        <f>VLOOKUP($A3,'Unify Report'!$A$1:$V$99,7,FALSE)</f>
        <v>1690.75</v>
      </c>
      <c r="M3">
        <f>VLOOKUP($A3,'Unify Report'!$A$1:$V$99,12,FALSE)</f>
        <v>1023</v>
      </c>
      <c r="N3">
        <f>VLOOKUP($A3,'Unify Report'!$A$1:$V$99,11,FALSE)</f>
        <v>1024</v>
      </c>
      <c r="O3">
        <f>VLOOKUP($A3,'Unify Report'!$A$1:$V$99,16,FALSE)</f>
        <v>682</v>
      </c>
      <c r="P3">
        <f>VLOOKUP($A3,'Unify Report'!$A$1:$V$99,15,FALSE)</f>
        <v>1364</v>
      </c>
      <c r="Q3">
        <f>ROUND(VLOOKUP($C3,CHPPD!$D$6:$N$100,7,FALSE),1)</f>
        <v>744</v>
      </c>
      <c r="W3" t="s">
        <v>217</v>
      </c>
      <c r="X3" t="s">
        <v>214</v>
      </c>
      <c r="Y3" t="s">
        <v>215</v>
      </c>
      <c r="Z3" t="s">
        <v>218</v>
      </c>
    </row>
    <row r="4" spans="1:27">
      <c r="A4" s="22" t="s">
        <v>66</v>
      </c>
      <c r="B4" s="22" t="s">
        <v>20</v>
      </c>
      <c r="C4" s="22" t="s">
        <v>108</v>
      </c>
      <c r="D4" t="str">
        <f t="shared" si="0"/>
        <v>RA701</v>
      </c>
      <c r="E4" t="str">
        <f t="shared" si="1"/>
        <v>Bristol Royal Infirmary - RA701</v>
      </c>
      <c r="F4" t="str">
        <f t="shared" ref="F4:F44" si="4">$C4</f>
        <v>A300</v>
      </c>
      <c r="G4" t="str">
        <f t="shared" si="2"/>
        <v>300 - GENERAL MEDICINE</v>
      </c>
      <c r="H4" t="str">
        <f t="shared" si="3"/>
        <v/>
      </c>
      <c r="I4">
        <f>VLOOKUP($A4,'Unify Report'!$A$1:$V$99,4,FALSE)</f>
        <v>2690</v>
      </c>
      <c r="J4">
        <f>VLOOKUP($A4,'Unify Report'!$A$1:$V$99,3,FALSE)</f>
        <v>2768.333333333333</v>
      </c>
      <c r="K4">
        <f>VLOOKUP($A4,'Unify Report'!$A$1:$V$99,8,FALSE)</f>
        <v>1858.5</v>
      </c>
      <c r="L4">
        <f>VLOOKUP($A4,'Unify Report'!$A$1:$V$99,7,FALSE)</f>
        <v>1745.25</v>
      </c>
      <c r="M4">
        <f>VLOOKUP($A4,'Unify Report'!$A$1:$V$99,12,FALSE)</f>
        <v>2024</v>
      </c>
      <c r="N4">
        <f>VLOOKUP($A4,'Unify Report'!$A$1:$V$99,11,FALSE)</f>
        <v>2068</v>
      </c>
      <c r="O4">
        <f>VLOOKUP($A4,'Unify Report'!$A$1:$V$99,16,FALSE)</f>
        <v>1694</v>
      </c>
      <c r="P4">
        <f>VLOOKUP($A4,'Unify Report'!$A$1:$V$99,15,FALSE)</f>
        <v>1694</v>
      </c>
      <c r="Q4">
        <f>ROUND(VLOOKUP($C4,CHPPD!$D$6:$N$100,7,FALSE),1)</f>
        <v>868</v>
      </c>
      <c r="W4" t="s">
        <v>220</v>
      </c>
      <c r="X4" t="s">
        <v>214</v>
      </c>
      <c r="Y4" t="s">
        <v>215</v>
      </c>
      <c r="Z4" t="s">
        <v>221</v>
      </c>
    </row>
    <row r="5" spans="1:27">
      <c r="A5" s="22" t="s">
        <v>67</v>
      </c>
      <c r="B5" s="22" t="s">
        <v>19</v>
      </c>
      <c r="C5" s="22" t="s">
        <v>109</v>
      </c>
      <c r="D5" t="str">
        <f t="shared" si="0"/>
        <v>RA701</v>
      </c>
      <c r="E5" t="str">
        <f t="shared" si="1"/>
        <v>Bristol Royal Infirmary - RA701</v>
      </c>
      <c r="F5" t="str">
        <f t="shared" si="4"/>
        <v>A400</v>
      </c>
      <c r="G5" t="str">
        <f t="shared" si="2"/>
        <v>430 - GERIATRIC MEDICINE</v>
      </c>
      <c r="H5" t="str">
        <f t="shared" si="3"/>
        <v/>
      </c>
      <c r="I5">
        <f>VLOOKUP($A5,'Unify Report'!$A$1:$V$99,4,FALSE)</f>
        <v>2238</v>
      </c>
      <c r="J5">
        <f>VLOOKUP($A5,'Unify Report'!$A$1:$V$99,3,FALSE)</f>
        <v>2080</v>
      </c>
      <c r="K5">
        <f>VLOOKUP($A5,'Unify Report'!$A$1:$V$99,8,FALSE)</f>
        <v>1860</v>
      </c>
      <c r="L5">
        <f>VLOOKUP($A5,'Unify Report'!$A$1:$V$99,7,FALSE)</f>
        <v>1965</v>
      </c>
      <c r="M5">
        <f>VLOOKUP($A5,'Unify Report'!$A$1:$V$99,12,FALSE)</f>
        <v>1705</v>
      </c>
      <c r="N5">
        <f>VLOOKUP($A5,'Unify Report'!$A$1:$V$99,11,FALSE)</f>
        <v>1663.25</v>
      </c>
      <c r="O5">
        <f>VLOOKUP($A5,'Unify Report'!$A$1:$V$99,16,FALSE)</f>
        <v>1364</v>
      </c>
      <c r="P5">
        <f>VLOOKUP($A5,'Unify Report'!$A$1:$V$99,15,FALSE)</f>
        <v>1542.75</v>
      </c>
      <c r="Q5">
        <f>ROUND(VLOOKUP($C5,CHPPD!$D$6:$N$100,7,FALSE),1)</f>
        <v>930</v>
      </c>
      <c r="W5" t="s">
        <v>222</v>
      </c>
      <c r="X5" t="s">
        <v>214</v>
      </c>
      <c r="Y5" t="s">
        <v>215</v>
      </c>
      <c r="Z5" t="s">
        <v>216</v>
      </c>
      <c r="AA5" t="s">
        <v>221</v>
      </c>
    </row>
    <row r="6" spans="1:27">
      <c r="A6" s="22" t="s">
        <v>68</v>
      </c>
      <c r="B6" s="22" t="s">
        <v>13</v>
      </c>
      <c r="C6" s="22" t="s">
        <v>110</v>
      </c>
      <c r="D6" t="str">
        <f t="shared" si="0"/>
        <v>RA701</v>
      </c>
      <c r="E6" t="str">
        <f t="shared" si="1"/>
        <v>Bristol Royal Infirmary - RA701</v>
      </c>
      <c r="F6" t="str">
        <f t="shared" si="4"/>
        <v>A515</v>
      </c>
      <c r="G6" t="str">
        <f t="shared" si="2"/>
        <v>300 - GENERAL MEDICINE</v>
      </c>
      <c r="H6" t="str">
        <f t="shared" si="3"/>
        <v>430 - GERIATRIC MEDICINE</v>
      </c>
      <c r="I6">
        <f>VLOOKUP($A6,'Unify Report'!$A$1:$V$99,4,FALSE)</f>
        <v>1868.25</v>
      </c>
      <c r="J6">
        <f>VLOOKUP($A6,'Unify Report'!$A$1:$V$99,3,FALSE)</f>
        <v>1787.3333333333333</v>
      </c>
      <c r="K6">
        <f>VLOOKUP($A6,'Unify Report'!$A$1:$V$99,8,FALSE)</f>
        <v>1116.0000000000032</v>
      </c>
      <c r="L6">
        <f>VLOOKUP($A6,'Unify Report'!$A$1:$V$99,7,FALSE)</f>
        <v>1471.25</v>
      </c>
      <c r="M6">
        <f>VLOOKUP($A6,'Unify Report'!$A$1:$V$99,12,FALSE)</f>
        <v>1364</v>
      </c>
      <c r="N6">
        <f>VLOOKUP($A6,'Unify Report'!$A$1:$V$99,11,FALSE)</f>
        <v>1353</v>
      </c>
      <c r="O6">
        <f>VLOOKUP($A6,'Unify Report'!$A$1:$V$99,16,FALSE)</f>
        <v>1023</v>
      </c>
      <c r="P6">
        <f>VLOOKUP($A6,'Unify Report'!$A$1:$V$99,15,FALSE)</f>
        <v>1210</v>
      </c>
      <c r="Q6">
        <f>ROUND(VLOOKUP($C6,CHPPD!$D$6:$N$100,7,FALSE),1)</f>
        <v>775</v>
      </c>
      <c r="W6" t="s">
        <v>116</v>
      </c>
      <c r="X6" t="s">
        <v>214</v>
      </c>
      <c r="Y6" t="s">
        <v>215</v>
      </c>
      <c r="Z6" t="s">
        <v>216</v>
      </c>
    </row>
    <row r="7" spans="1:27">
      <c r="A7" s="22" t="s">
        <v>69</v>
      </c>
      <c r="B7" s="22" t="s">
        <v>18</v>
      </c>
      <c r="C7" s="22" t="s">
        <v>111</v>
      </c>
      <c r="D7" t="str">
        <f t="shared" si="0"/>
        <v>RA701</v>
      </c>
      <c r="E7" t="str">
        <f t="shared" si="1"/>
        <v>Bristol Royal Infirmary - RA701</v>
      </c>
      <c r="F7" t="str">
        <f t="shared" si="4"/>
        <v>A518</v>
      </c>
      <c r="G7" t="str">
        <f t="shared" si="2"/>
        <v>300 - GENERAL MEDICINE</v>
      </c>
      <c r="H7" t="str">
        <f t="shared" si="3"/>
        <v/>
      </c>
      <c r="I7">
        <f>VLOOKUP($A7,'Unify Report'!$A$1:$V$99,4,FALSE)</f>
        <v>1098</v>
      </c>
      <c r="J7">
        <f>VLOOKUP($A7,'Unify Report'!$A$1:$V$99,3,FALSE)</f>
        <v>1029.75</v>
      </c>
      <c r="K7">
        <f>VLOOKUP($A7,'Unify Report'!$A$1:$V$99,8,FALSE)</f>
        <v>701.5</v>
      </c>
      <c r="L7">
        <f>VLOOKUP($A7,'Unify Report'!$A$1:$V$99,7,FALSE)</f>
        <v>730.25</v>
      </c>
      <c r="M7">
        <f>VLOOKUP($A7,'Unify Report'!$A$1:$V$99,12,FALSE)</f>
        <v>682</v>
      </c>
      <c r="N7">
        <f>VLOOKUP($A7,'Unify Report'!$A$1:$V$99,11,FALSE)</f>
        <v>682.5</v>
      </c>
      <c r="O7">
        <f>VLOOKUP($A7,'Unify Report'!$A$1:$V$99,16,FALSE)</f>
        <v>671.25</v>
      </c>
      <c r="P7">
        <f>VLOOKUP($A7,'Unify Report'!$A$1:$V$99,15,FALSE)</f>
        <v>660.25</v>
      </c>
      <c r="Q7">
        <f>ROUND(VLOOKUP($C7,CHPPD!$D$6:$N$100,7,FALSE),1)</f>
        <v>527</v>
      </c>
      <c r="W7" t="s">
        <v>223</v>
      </c>
      <c r="X7" t="s">
        <v>214</v>
      </c>
      <c r="Y7" t="s">
        <v>215</v>
      </c>
      <c r="Z7" t="s">
        <v>221</v>
      </c>
      <c r="AA7" t="s">
        <v>219</v>
      </c>
    </row>
    <row r="8" spans="1:27">
      <c r="A8" s="22" t="s">
        <v>70</v>
      </c>
      <c r="B8" s="22" t="s">
        <v>15</v>
      </c>
      <c r="C8" s="22" t="s">
        <v>112</v>
      </c>
      <c r="D8" t="str">
        <f t="shared" si="0"/>
        <v>RA701</v>
      </c>
      <c r="E8" t="str">
        <f t="shared" si="1"/>
        <v>Bristol Royal Infirmary - RA701</v>
      </c>
      <c r="F8" t="str">
        <f t="shared" si="4"/>
        <v>A522</v>
      </c>
      <c r="G8" t="str">
        <f t="shared" si="2"/>
        <v>300 - GENERAL MEDICINE</v>
      </c>
      <c r="H8" t="str">
        <f t="shared" si="3"/>
        <v>430 - GERIATRIC MEDICINE</v>
      </c>
      <c r="I8">
        <f>VLOOKUP($A8,'Unify Report'!$A$1:$V$99,4,FALSE)</f>
        <v>1627</v>
      </c>
      <c r="J8">
        <f>VLOOKUP($A8,'Unify Report'!$A$1:$V$99,3,FALSE)</f>
        <v>1624.25</v>
      </c>
      <c r="K8">
        <f>VLOOKUP($A8,'Unify Report'!$A$1:$V$99,8,FALSE)</f>
        <v>1113.5</v>
      </c>
      <c r="L8">
        <f>VLOOKUP($A8,'Unify Report'!$A$1:$V$99,7,FALSE)</f>
        <v>1431.333333333333</v>
      </c>
      <c r="M8">
        <f>VLOOKUP($A8,'Unify Report'!$A$1:$V$99,12,FALSE)</f>
        <v>1023</v>
      </c>
      <c r="N8">
        <f>VLOOKUP($A8,'Unify Report'!$A$1:$V$99,11,FALSE)</f>
        <v>1046.75</v>
      </c>
      <c r="O8">
        <f>VLOOKUP($A8,'Unify Report'!$A$1:$V$99,16,FALSE)</f>
        <v>1023</v>
      </c>
      <c r="P8">
        <f>VLOOKUP($A8,'Unify Report'!$A$1:$V$99,15,FALSE)</f>
        <v>1353</v>
      </c>
      <c r="Q8">
        <f>ROUND(VLOOKUP($C8,CHPPD!$D$6:$N$100,7,FALSE),1)</f>
        <v>775</v>
      </c>
      <c r="W8" t="s">
        <v>130</v>
      </c>
      <c r="X8" t="s">
        <v>214</v>
      </c>
      <c r="Y8" t="s">
        <v>215</v>
      </c>
      <c r="Z8" t="s">
        <v>224</v>
      </c>
      <c r="AA8" t="s">
        <v>219</v>
      </c>
    </row>
    <row r="9" spans="1:27">
      <c r="A9" s="22" t="s">
        <v>71</v>
      </c>
      <c r="B9" s="22" t="s">
        <v>22</v>
      </c>
      <c r="C9" s="22" t="s">
        <v>113</v>
      </c>
      <c r="D9" t="str">
        <f t="shared" si="0"/>
        <v>RA701</v>
      </c>
      <c r="E9" t="str">
        <f t="shared" si="1"/>
        <v>Bristol Royal Infirmary - RA701</v>
      </c>
      <c r="F9" t="str">
        <f t="shared" si="4"/>
        <v>A524</v>
      </c>
      <c r="G9" t="str">
        <f t="shared" si="2"/>
        <v>300 - GENERAL MEDICINE</v>
      </c>
      <c r="H9" t="str">
        <f t="shared" si="3"/>
        <v/>
      </c>
      <c r="I9">
        <f>VLOOKUP($A9,'Unify Report'!$A$1:$V$99,4,FALSE)</f>
        <v>1119.13333333333</v>
      </c>
      <c r="J9">
        <f>VLOOKUP($A9,'Unify Report'!$A$1:$V$99,3,FALSE)</f>
        <v>1119.6333333333332</v>
      </c>
      <c r="K9">
        <f>VLOOKUP($A9,'Unify Report'!$A$1:$V$99,8,FALSE)</f>
        <v>939.75</v>
      </c>
      <c r="L9">
        <f>VLOOKUP($A9,'Unify Report'!$A$1:$V$99,7,FALSE)</f>
        <v>946.25</v>
      </c>
      <c r="M9">
        <f>VLOOKUP($A9,'Unify Report'!$A$1:$V$99,12,FALSE)</f>
        <v>1023</v>
      </c>
      <c r="N9">
        <f>VLOOKUP($A9,'Unify Report'!$A$1:$V$99,11,FALSE)</f>
        <v>1012</v>
      </c>
      <c r="O9">
        <f>VLOOKUP($A9,'Unify Report'!$A$1:$V$99,16,FALSE)</f>
        <v>341</v>
      </c>
      <c r="P9">
        <f>VLOOKUP($A9,'Unify Report'!$A$1:$V$99,15,FALSE)</f>
        <v>429</v>
      </c>
      <c r="Q9">
        <f>ROUND(VLOOKUP($C9,CHPPD!$D$6:$N$100,7,FALSE),1)</f>
        <v>620</v>
      </c>
      <c r="W9" t="s">
        <v>225</v>
      </c>
      <c r="X9" t="s">
        <v>214</v>
      </c>
      <c r="Y9" t="s">
        <v>215</v>
      </c>
      <c r="Z9" t="s">
        <v>221</v>
      </c>
      <c r="AA9" t="s">
        <v>216</v>
      </c>
    </row>
    <row r="10" spans="1:27">
      <c r="A10" s="22" t="s">
        <v>72</v>
      </c>
      <c r="B10" s="22" t="s">
        <v>23</v>
      </c>
      <c r="C10" s="22" t="s">
        <v>114</v>
      </c>
      <c r="D10" t="str">
        <f t="shared" si="0"/>
        <v>RA701</v>
      </c>
      <c r="E10" t="str">
        <f t="shared" si="1"/>
        <v>Bristol Royal Infirmary - RA701</v>
      </c>
      <c r="F10" t="str">
        <f t="shared" si="4"/>
        <v>A525</v>
      </c>
      <c r="G10" t="str">
        <f t="shared" si="2"/>
        <v>300 - GENERAL MEDICINE</v>
      </c>
      <c r="H10" t="str">
        <f t="shared" si="3"/>
        <v/>
      </c>
      <c r="I10">
        <f>VLOOKUP($A10,'Unify Report'!$A$1:$V$99,4,FALSE)</f>
        <v>1501.18333333333</v>
      </c>
      <c r="J10">
        <f>VLOOKUP($A10,'Unify Report'!$A$1:$V$99,3,FALSE)</f>
        <v>1453.8333333333333</v>
      </c>
      <c r="K10">
        <f>VLOOKUP($A10,'Unify Report'!$A$1:$V$99,8,FALSE)</f>
        <v>751</v>
      </c>
      <c r="L10">
        <f>VLOOKUP($A10,'Unify Report'!$A$1:$V$99,7,FALSE)</f>
        <v>788</v>
      </c>
      <c r="M10">
        <f>VLOOKUP($A10,'Unify Report'!$A$1:$V$99,12,FALSE)</f>
        <v>1364</v>
      </c>
      <c r="N10">
        <f>VLOOKUP($A10,'Unify Report'!$A$1:$V$99,11,FALSE)</f>
        <v>1328.75</v>
      </c>
      <c r="O10">
        <f>VLOOKUP($A10,'Unify Report'!$A$1:$V$99,16,FALSE)</f>
        <v>682</v>
      </c>
      <c r="P10">
        <f>VLOOKUP($A10,'Unify Report'!$A$1:$V$99,15,FALSE)</f>
        <v>770</v>
      </c>
      <c r="Q10">
        <f>ROUND(VLOOKUP($C10,CHPPD!$D$6:$N$100,7,FALSE),1)</f>
        <v>434</v>
      </c>
      <c r="W10" t="s">
        <v>122</v>
      </c>
      <c r="X10" t="s">
        <v>214</v>
      </c>
      <c r="Y10" t="s">
        <v>215</v>
      </c>
      <c r="Z10" t="s">
        <v>226</v>
      </c>
      <c r="AA10" t="s">
        <v>218</v>
      </c>
    </row>
    <row r="11" spans="1:27">
      <c r="A11" s="22" t="s">
        <v>73</v>
      </c>
      <c r="B11" s="22" t="s">
        <v>16</v>
      </c>
      <c r="C11" s="22" t="s">
        <v>115</v>
      </c>
      <c r="D11" t="str">
        <f t="shared" si="0"/>
        <v>RA701</v>
      </c>
      <c r="E11" t="str">
        <f t="shared" si="1"/>
        <v>Bristol Royal Infirmary - RA701</v>
      </c>
      <c r="F11" t="str">
        <f t="shared" si="4"/>
        <v>A528</v>
      </c>
      <c r="G11" t="str">
        <f t="shared" si="2"/>
        <v>430 - GERIATRIC MEDICINE</v>
      </c>
      <c r="H11" t="str">
        <f t="shared" si="3"/>
        <v/>
      </c>
      <c r="I11">
        <f>VLOOKUP($A11,'Unify Report'!$A$1:$V$99,4,FALSE)</f>
        <v>1127.25</v>
      </c>
      <c r="J11">
        <f>VLOOKUP($A11,'Unify Report'!$A$1:$V$99,3,FALSE)</f>
        <v>1102.25</v>
      </c>
      <c r="K11">
        <f>VLOOKUP($A11,'Unify Report'!$A$1:$V$99,8,FALSE)</f>
        <v>1093.25</v>
      </c>
      <c r="L11">
        <f>VLOOKUP($A11,'Unify Report'!$A$1:$V$99,7,FALSE)</f>
        <v>1259.5</v>
      </c>
      <c r="M11">
        <f>VLOOKUP($A11,'Unify Report'!$A$1:$V$99,12,FALSE)</f>
        <v>682</v>
      </c>
      <c r="N11">
        <f>VLOOKUP($A11,'Unify Report'!$A$1:$V$99,11,FALSE)</f>
        <v>682.75</v>
      </c>
      <c r="O11">
        <f>VLOOKUP($A11,'Unify Report'!$A$1:$V$99,16,FALSE)</f>
        <v>682</v>
      </c>
      <c r="P11">
        <f>VLOOKUP($A11,'Unify Report'!$A$1:$V$99,15,FALSE)</f>
        <v>1188</v>
      </c>
      <c r="Q11">
        <f>ROUND(VLOOKUP($C11,CHPPD!$D$6:$N$100,7,FALSE),1)</f>
        <v>620</v>
      </c>
      <c r="W11" t="s">
        <v>123</v>
      </c>
      <c r="X11" t="s">
        <v>214</v>
      </c>
      <c r="Y11" t="s">
        <v>215</v>
      </c>
      <c r="Z11" t="s">
        <v>218</v>
      </c>
      <c r="AA11" t="s">
        <v>226</v>
      </c>
    </row>
    <row r="12" spans="1:27">
      <c r="A12" s="22" t="s">
        <v>74</v>
      </c>
      <c r="B12" s="22" t="s">
        <v>14</v>
      </c>
      <c r="C12" s="22" t="s">
        <v>116</v>
      </c>
      <c r="D12" t="str">
        <f t="shared" si="0"/>
        <v>RA701</v>
      </c>
      <c r="E12" t="str">
        <f t="shared" si="1"/>
        <v>Bristol Royal Infirmary - RA701</v>
      </c>
      <c r="F12" t="str">
        <f t="shared" si="4"/>
        <v>A605</v>
      </c>
      <c r="G12" t="str">
        <f t="shared" si="2"/>
        <v>300 - GENERAL MEDICINE</v>
      </c>
      <c r="H12" t="str">
        <f t="shared" si="3"/>
        <v/>
      </c>
      <c r="I12">
        <f>VLOOKUP($A12,'Unify Report'!$A$1:$V$99,4,FALSE)</f>
        <v>788.25</v>
      </c>
      <c r="J12">
        <f>VLOOKUP($A12,'Unify Report'!$A$1:$V$99,3,FALSE)</f>
        <v>805.91666666666663</v>
      </c>
      <c r="K12">
        <f>VLOOKUP($A12,'Unify Report'!$A$1:$V$99,8,FALSE)</f>
        <v>1497.5</v>
      </c>
      <c r="L12">
        <f>VLOOKUP($A12,'Unify Report'!$A$1:$V$99,7,FALSE)</f>
        <v>1419.25</v>
      </c>
      <c r="M12">
        <f>VLOOKUP($A12,'Unify Report'!$A$1:$V$99,12,FALSE)</f>
        <v>682</v>
      </c>
      <c r="N12">
        <f>VLOOKUP($A12,'Unify Report'!$A$1:$V$99,11,FALSE)</f>
        <v>681.5</v>
      </c>
      <c r="O12">
        <f>VLOOKUP($A12,'Unify Report'!$A$1:$V$99,16,FALSE)</f>
        <v>682</v>
      </c>
      <c r="P12">
        <f>VLOOKUP($A12,'Unify Report'!$A$1:$V$99,15,FALSE)</f>
        <v>649</v>
      </c>
      <c r="Q12">
        <f>ROUND(VLOOKUP($C12,CHPPD!$D$6:$N$100,7,FALSE),1)</f>
        <v>558</v>
      </c>
      <c r="W12" t="s">
        <v>124</v>
      </c>
      <c r="X12" t="s">
        <v>214</v>
      </c>
      <c r="Y12" t="s">
        <v>215</v>
      </c>
      <c r="Z12" t="s">
        <v>226</v>
      </c>
      <c r="AA12" t="s">
        <v>216</v>
      </c>
    </row>
    <row r="13" spans="1:27">
      <c r="A13" s="22" t="s">
        <v>75</v>
      </c>
      <c r="B13" s="22" t="s">
        <v>21</v>
      </c>
      <c r="C13" s="22" t="s">
        <v>117</v>
      </c>
      <c r="D13" t="str">
        <f t="shared" si="0"/>
        <v>RA701</v>
      </c>
      <c r="E13" t="str">
        <f t="shared" si="1"/>
        <v>Bristol Royal Infirmary - RA701</v>
      </c>
      <c r="F13" t="str">
        <f t="shared" si="4"/>
        <v>A900</v>
      </c>
      <c r="G13" t="str">
        <f t="shared" si="2"/>
        <v>300 - GENERAL MEDICINE</v>
      </c>
      <c r="H13" t="str">
        <f t="shared" si="3"/>
        <v/>
      </c>
      <c r="I13">
        <f>VLOOKUP($A13,'Unify Report'!$A$1:$V$99,4,FALSE)</f>
        <v>1376.25</v>
      </c>
      <c r="J13">
        <f>VLOOKUP($A13,'Unify Report'!$A$1:$V$99,3,FALSE)</f>
        <v>1400.25</v>
      </c>
      <c r="K13">
        <f>VLOOKUP($A13,'Unify Report'!$A$1:$V$99,8,FALSE)</f>
        <v>1099.75</v>
      </c>
      <c r="L13">
        <f>VLOOKUP($A13,'Unify Report'!$A$1:$V$99,7,FALSE)</f>
        <v>1767.75</v>
      </c>
      <c r="M13">
        <f>VLOOKUP($A13,'Unify Report'!$A$1:$V$99,12,FALSE)</f>
        <v>1023</v>
      </c>
      <c r="N13">
        <f>VLOOKUP($A13,'Unify Report'!$A$1:$V$99,11,FALSE)</f>
        <v>1023</v>
      </c>
      <c r="O13">
        <f>VLOOKUP($A13,'Unify Report'!$A$1:$V$99,16,FALSE)</f>
        <v>682</v>
      </c>
      <c r="P13">
        <f>VLOOKUP($A13,'Unify Report'!$A$1:$V$99,15,FALSE)</f>
        <v>1375</v>
      </c>
      <c r="Q13">
        <f>ROUND(VLOOKUP($C13,CHPPD!$D$6:$N$100,7,FALSE),1)</f>
        <v>744</v>
      </c>
      <c r="W13" t="s">
        <v>137</v>
      </c>
      <c r="X13" t="s">
        <v>227</v>
      </c>
      <c r="Y13" t="s">
        <v>228</v>
      </c>
      <c r="Z13" t="s">
        <v>229</v>
      </c>
      <c r="AA13" t="s">
        <v>219</v>
      </c>
    </row>
    <row r="14" spans="1:27">
      <c r="A14" s="22" t="s">
        <v>76</v>
      </c>
      <c r="B14" s="22" t="s">
        <v>24</v>
      </c>
      <c r="C14" s="23" t="s">
        <v>118</v>
      </c>
      <c r="D14" t="str">
        <f t="shared" si="0"/>
        <v>RA773</v>
      </c>
      <c r="E14" t="str">
        <f t="shared" si="1"/>
        <v>South Bristol Community Hospital - RA773</v>
      </c>
      <c r="F14" t="str">
        <f t="shared" si="4"/>
        <v>100</v>
      </c>
      <c r="G14" t="str">
        <f t="shared" si="2"/>
        <v>314 - REHABILITATION</v>
      </c>
      <c r="H14" t="str">
        <f t="shared" si="3"/>
        <v>300 - GENERAL MEDICINE</v>
      </c>
      <c r="I14">
        <f>VLOOKUP($A14,'Unify Report'!$A$1:$V$99,4,FALSE)</f>
        <v>1491.5</v>
      </c>
      <c r="J14">
        <f>VLOOKUP($A14,'Unify Report'!$A$1:$V$99,3,FALSE)</f>
        <v>1478.25</v>
      </c>
      <c r="K14">
        <f>VLOOKUP($A14,'Unify Report'!$A$1:$V$99,8,FALSE)</f>
        <v>1880</v>
      </c>
      <c r="L14">
        <f>VLOOKUP($A14,'Unify Report'!$A$1:$V$99,7,FALSE)</f>
        <v>1753</v>
      </c>
      <c r="M14">
        <f>VLOOKUP($A14,'Unify Report'!$A$1:$V$99,12,FALSE)</f>
        <v>682</v>
      </c>
      <c r="N14">
        <f>VLOOKUP($A14,'Unify Report'!$A$1:$V$99,11,FALSE)</f>
        <v>879.5</v>
      </c>
      <c r="O14">
        <f>VLOOKUP($A14,'Unify Report'!$A$1:$V$99,16,FALSE)</f>
        <v>1023</v>
      </c>
      <c r="P14">
        <f>VLOOKUP($A14,'Unify Report'!$A$1:$V$99,15,FALSE)</f>
        <v>1159.25</v>
      </c>
      <c r="Q14">
        <f>ROUND(VLOOKUP($C14,CHPPD!$D$6:$N$100,7,FALSE),1)</f>
        <v>930</v>
      </c>
      <c r="W14" t="s">
        <v>140</v>
      </c>
      <c r="X14" t="s">
        <v>227</v>
      </c>
      <c r="Y14" t="s">
        <v>228</v>
      </c>
      <c r="Z14" t="s">
        <v>230</v>
      </c>
      <c r="AA14" t="s">
        <v>231</v>
      </c>
    </row>
    <row r="15" spans="1:27">
      <c r="A15" s="22" t="s">
        <v>77</v>
      </c>
      <c r="B15" s="22" t="s">
        <v>25</v>
      </c>
      <c r="C15" s="23" t="s">
        <v>119</v>
      </c>
      <c r="D15" t="str">
        <f t="shared" si="0"/>
        <v>RA773</v>
      </c>
      <c r="E15" t="str">
        <f t="shared" si="1"/>
        <v>South Bristol Community Hospital - RA773</v>
      </c>
      <c r="F15" t="str">
        <f t="shared" si="4"/>
        <v>200</v>
      </c>
      <c r="G15" t="str">
        <f t="shared" si="2"/>
        <v>314 - REHABILITATION</v>
      </c>
      <c r="H15" t="str">
        <f t="shared" si="3"/>
        <v>300 - GENERAL MEDICINE</v>
      </c>
      <c r="I15">
        <f>VLOOKUP($A15,'Unify Report'!$A$1:$V$99,4,FALSE)</f>
        <v>1549.25</v>
      </c>
      <c r="J15">
        <f>VLOOKUP($A15,'Unify Report'!$A$1:$V$99,3,FALSE)</f>
        <v>1391</v>
      </c>
      <c r="K15">
        <f>VLOOKUP($A15,'Unify Report'!$A$1:$V$99,8,FALSE)</f>
        <v>2075</v>
      </c>
      <c r="L15">
        <f>VLOOKUP($A15,'Unify Report'!$A$1:$V$99,7,FALSE)</f>
        <v>1880.5</v>
      </c>
      <c r="M15">
        <f>VLOOKUP($A15,'Unify Report'!$A$1:$V$99,12,FALSE)</f>
        <v>682</v>
      </c>
      <c r="N15">
        <f>VLOOKUP($A15,'Unify Report'!$A$1:$V$99,11,FALSE)</f>
        <v>835.5</v>
      </c>
      <c r="O15">
        <f>VLOOKUP($A15,'Unify Report'!$A$1:$V$99,16,FALSE)</f>
        <v>1023</v>
      </c>
      <c r="P15">
        <f>VLOOKUP($A15,'Unify Report'!$A$1:$V$99,15,FALSE)</f>
        <v>1188</v>
      </c>
      <c r="Q15">
        <f>ROUND(VLOOKUP($C15,CHPPD!$D$6:$N$100,7,FALSE),1)</f>
        <v>930</v>
      </c>
      <c r="W15" t="s">
        <v>136</v>
      </c>
      <c r="X15" t="s">
        <v>227</v>
      </c>
      <c r="Y15" t="s">
        <v>228</v>
      </c>
      <c r="Z15" t="s">
        <v>231</v>
      </c>
      <c r="AA15" t="s">
        <v>230</v>
      </c>
    </row>
    <row r="16" spans="1:27">
      <c r="A16" s="22" t="s">
        <v>78</v>
      </c>
      <c r="B16" s="22" t="s">
        <v>27</v>
      </c>
      <c r="C16" s="22" t="s">
        <v>120</v>
      </c>
      <c r="D16" t="str">
        <f t="shared" si="0"/>
        <v>RA701</v>
      </c>
      <c r="E16" t="str">
        <f t="shared" si="1"/>
        <v>Bristol Royal Infirmary - RA701</v>
      </c>
      <c r="F16" t="str">
        <f t="shared" si="4"/>
        <v>C603</v>
      </c>
      <c r="G16" t="str">
        <f t="shared" si="2"/>
        <v>320 - CARDIOLOGY</v>
      </c>
      <c r="H16" t="str">
        <f t="shared" si="3"/>
        <v/>
      </c>
      <c r="I16">
        <f>VLOOKUP($A16,'Unify Report'!$A$1:$V$99,4,FALSE)</f>
        <v>1856</v>
      </c>
      <c r="J16">
        <f>VLOOKUP($A16,'Unify Report'!$A$1:$V$99,3,FALSE)</f>
        <v>1814.75</v>
      </c>
      <c r="K16">
        <f>VLOOKUP($A16,'Unify Report'!$A$1:$V$99,8,FALSE)</f>
        <v>374</v>
      </c>
      <c r="L16">
        <f>VLOOKUP($A16,'Unify Report'!$A$1:$V$99,7,FALSE)</f>
        <v>349</v>
      </c>
      <c r="M16">
        <f>VLOOKUP($A16,'Unify Report'!$A$1:$V$99,12,FALSE)</f>
        <v>1364</v>
      </c>
      <c r="N16">
        <f>VLOOKUP($A16,'Unify Report'!$A$1:$V$99,11,FALSE)</f>
        <v>1363.25</v>
      </c>
      <c r="O16">
        <f>VLOOKUP($A16,'Unify Report'!$A$1:$V$99,16,FALSE)</f>
        <v>341</v>
      </c>
      <c r="P16">
        <f>VLOOKUP($A16,'Unify Report'!$A$1:$V$99,15,FALSE)</f>
        <v>352</v>
      </c>
      <c r="Q16">
        <f>ROUND(VLOOKUP($C16,CHPPD!$D$6:$N$100,7,FALSE),1)</f>
        <v>341</v>
      </c>
      <c r="W16" t="s">
        <v>134</v>
      </c>
      <c r="X16" t="s">
        <v>227</v>
      </c>
      <c r="Y16" t="s">
        <v>228</v>
      </c>
      <c r="Z16" t="s">
        <v>231</v>
      </c>
      <c r="AA16" t="s">
        <v>229</v>
      </c>
    </row>
    <row r="17" spans="1:27">
      <c r="A17" s="22" t="s">
        <v>79</v>
      </c>
      <c r="B17" s="22" t="s">
        <v>30</v>
      </c>
      <c r="C17" s="22" t="s">
        <v>121</v>
      </c>
      <c r="D17" t="str">
        <f t="shared" si="0"/>
        <v>RA701</v>
      </c>
      <c r="E17" t="str">
        <f t="shared" si="1"/>
        <v>Bristol Royal Infirmary - RA701</v>
      </c>
      <c r="F17" t="str">
        <f t="shared" si="4"/>
        <v>C604</v>
      </c>
      <c r="G17" t="str">
        <f t="shared" si="2"/>
        <v>170 - CARDIOTHORACIC SURGERY</v>
      </c>
      <c r="H17" t="str">
        <f t="shared" si="3"/>
        <v>320 - CARDIOLOGY</v>
      </c>
      <c r="I17">
        <f>VLOOKUP($A17,'Unify Report'!$A$1:$V$99,4,FALSE)</f>
        <v>6086.7666666666664</v>
      </c>
      <c r="J17">
        <f>VLOOKUP($A17,'Unify Report'!$A$1:$V$99,3,FALSE)</f>
        <v>6198.6666666666661</v>
      </c>
      <c r="K17">
        <f>VLOOKUP($A17,'Unify Report'!$A$1:$V$99,8,FALSE)</f>
        <v>358</v>
      </c>
      <c r="L17">
        <f>VLOOKUP($A17,'Unify Report'!$A$1:$V$99,7,FALSE)</f>
        <v>511.75</v>
      </c>
      <c r="M17">
        <f>VLOOKUP($A17,'Unify Report'!$A$1:$V$99,12,FALSE)</f>
        <v>6077.3</v>
      </c>
      <c r="N17">
        <f>VLOOKUP($A17,'Unify Report'!$A$1:$V$99,11,FALSE)</f>
        <v>6259.75</v>
      </c>
      <c r="O17">
        <f>VLOOKUP($A17,'Unify Report'!$A$1:$V$99,16,FALSE)</f>
        <v>356.5</v>
      </c>
      <c r="P17">
        <f>VLOOKUP($A17,'Unify Report'!$A$1:$V$99,15,FALSE)</f>
        <v>460</v>
      </c>
      <c r="Q17">
        <f>ROUND(VLOOKUP($C17,CHPPD!$D$6:$N$100,7,FALSE),1)</f>
        <v>744</v>
      </c>
      <c r="W17" t="s">
        <v>129</v>
      </c>
      <c r="X17" t="s">
        <v>214</v>
      </c>
      <c r="Y17" t="s">
        <v>215</v>
      </c>
      <c r="Z17" t="s">
        <v>224</v>
      </c>
      <c r="AA17" t="s">
        <v>221</v>
      </c>
    </row>
    <row r="18" spans="1:27">
      <c r="A18" s="22" t="s">
        <v>80</v>
      </c>
      <c r="B18" s="22" t="s">
        <v>29</v>
      </c>
      <c r="C18" s="22" t="s">
        <v>122</v>
      </c>
      <c r="D18" t="str">
        <f t="shared" si="0"/>
        <v>RA701</v>
      </c>
      <c r="E18" t="str">
        <f t="shared" si="1"/>
        <v>Bristol Royal Infirmary - RA701</v>
      </c>
      <c r="F18" t="str">
        <f t="shared" si="4"/>
        <v>C705</v>
      </c>
      <c r="G18" t="str">
        <f t="shared" si="2"/>
        <v>320 - CARDIOLOGY</v>
      </c>
      <c r="H18" t="str">
        <f t="shared" si="3"/>
        <v>170 - CARDIOTHORACIC SURGERY</v>
      </c>
      <c r="I18">
        <f>VLOOKUP($A18,'Unify Report'!$A$1:$V$99,4,FALSE)</f>
        <v>1444.75</v>
      </c>
      <c r="J18">
        <f>VLOOKUP($A18,'Unify Report'!$A$1:$V$99,3,FALSE)</f>
        <v>1372.75</v>
      </c>
      <c r="K18">
        <f>VLOOKUP($A18,'Unify Report'!$A$1:$V$99,8,FALSE)</f>
        <v>1120</v>
      </c>
      <c r="L18">
        <f>VLOOKUP($A18,'Unify Report'!$A$1:$V$99,7,FALSE)</f>
        <v>1139</v>
      </c>
      <c r="M18">
        <f>VLOOKUP($A18,'Unify Report'!$A$1:$V$99,12,FALSE)</f>
        <v>1023</v>
      </c>
      <c r="N18">
        <f>VLOOKUP($A18,'Unify Report'!$A$1:$V$99,11,FALSE)</f>
        <v>1034</v>
      </c>
      <c r="O18">
        <f>VLOOKUP($A18,'Unify Report'!$A$1:$V$99,16,FALSE)</f>
        <v>346</v>
      </c>
      <c r="P18">
        <f>VLOOKUP($A18,'Unify Report'!$A$1:$V$99,15,FALSE)</f>
        <v>465</v>
      </c>
      <c r="Q18">
        <f>ROUND(VLOOKUP($C18,CHPPD!$D$6:$N$100,7,FALSE),1)</f>
        <v>744</v>
      </c>
      <c r="W18" s="61" t="s">
        <v>232</v>
      </c>
      <c r="X18" t="s">
        <v>233</v>
      </c>
      <c r="Y18" t="s">
        <v>234</v>
      </c>
      <c r="Z18" t="s">
        <v>235</v>
      </c>
      <c r="AA18" t="s">
        <v>219</v>
      </c>
    </row>
    <row r="19" spans="1:27">
      <c r="A19" s="22" t="s">
        <v>81</v>
      </c>
      <c r="B19" s="22" t="s">
        <v>28</v>
      </c>
      <c r="C19" s="22" t="s">
        <v>123</v>
      </c>
      <c r="D19" t="str">
        <f t="shared" si="0"/>
        <v>RA701</v>
      </c>
      <c r="E19" t="str">
        <f t="shared" si="1"/>
        <v>Bristol Royal Infirmary - RA701</v>
      </c>
      <c r="F19" t="str">
        <f t="shared" si="4"/>
        <v>C708</v>
      </c>
      <c r="G19" t="str">
        <f t="shared" si="2"/>
        <v>170 - CARDIOTHORACIC SURGERY</v>
      </c>
      <c r="H19" t="str">
        <f t="shared" si="3"/>
        <v>320 - CARDIOLOGY</v>
      </c>
      <c r="I19">
        <f>VLOOKUP($A19,'Unify Report'!$A$1:$V$99,4,FALSE)</f>
        <v>1461.25</v>
      </c>
      <c r="J19">
        <f>VLOOKUP($A19,'Unify Report'!$A$1:$V$99,3,FALSE)</f>
        <v>1426.75</v>
      </c>
      <c r="K19">
        <f>VLOOKUP($A19,'Unify Report'!$A$1:$V$99,8,FALSE)</f>
        <v>1150.75</v>
      </c>
      <c r="L19">
        <f>VLOOKUP($A19,'Unify Report'!$A$1:$V$99,7,FALSE)</f>
        <v>1389</v>
      </c>
      <c r="M19">
        <f>VLOOKUP($A19,'Unify Report'!$A$1:$V$99,12,FALSE)</f>
        <v>1012</v>
      </c>
      <c r="N19">
        <f>VLOOKUP($A19,'Unify Report'!$A$1:$V$99,11,FALSE)</f>
        <v>1023</v>
      </c>
      <c r="O19">
        <f>VLOOKUP($A19,'Unify Report'!$A$1:$V$99,16,FALSE)</f>
        <v>341</v>
      </c>
      <c r="P19">
        <f>VLOOKUP($A19,'Unify Report'!$A$1:$V$99,15,FALSE)</f>
        <v>654.25</v>
      </c>
      <c r="Q19">
        <f>ROUND(VLOOKUP($C19,CHPPD!$D$6:$N$100,7,FALSE),1)</f>
        <v>744</v>
      </c>
      <c r="W19" t="s">
        <v>146</v>
      </c>
      <c r="X19" t="s">
        <v>233</v>
      </c>
      <c r="Y19" t="s">
        <v>234</v>
      </c>
      <c r="Z19" t="s">
        <v>235</v>
      </c>
      <c r="AA19" t="s">
        <v>219</v>
      </c>
    </row>
    <row r="20" spans="1:27">
      <c r="A20" s="22" t="s">
        <v>82</v>
      </c>
      <c r="B20" s="22" t="s">
        <v>26</v>
      </c>
      <c r="C20" s="22" t="s">
        <v>124</v>
      </c>
      <c r="D20" t="str">
        <f t="shared" si="0"/>
        <v>RA701</v>
      </c>
      <c r="E20" t="str">
        <f t="shared" si="1"/>
        <v>Bristol Royal Infirmary - RA701</v>
      </c>
      <c r="F20" t="str">
        <f t="shared" si="4"/>
        <v>C805</v>
      </c>
      <c r="G20" t="str">
        <f t="shared" si="2"/>
        <v>320 - CARDIOLOGY</v>
      </c>
      <c r="H20" t="str">
        <f t="shared" si="3"/>
        <v>300 - GENERAL MEDICINE</v>
      </c>
      <c r="I20">
        <f>VLOOKUP($A20,'Unify Report'!$A$1:$V$99,4,FALSE)</f>
        <v>1413</v>
      </c>
      <c r="J20">
        <f>VLOOKUP($A20,'Unify Report'!$A$1:$V$99,3,FALSE)</f>
        <v>1402.1666666666665</v>
      </c>
      <c r="K20">
        <f>VLOOKUP($A20,'Unify Report'!$A$1:$V$99,8,FALSE)</f>
        <v>1134</v>
      </c>
      <c r="L20">
        <f>VLOOKUP($A20,'Unify Report'!$A$1:$V$99,7,FALSE)</f>
        <v>1127.5</v>
      </c>
      <c r="M20">
        <f>VLOOKUP($A20,'Unify Report'!$A$1:$V$99,12,FALSE)</f>
        <v>1023</v>
      </c>
      <c r="N20">
        <f>VLOOKUP($A20,'Unify Report'!$A$1:$V$99,11,FALSE)</f>
        <v>1030</v>
      </c>
      <c r="O20">
        <f>VLOOKUP($A20,'Unify Report'!$A$1:$V$99,16,FALSE)</f>
        <v>572</v>
      </c>
      <c r="P20">
        <f>VLOOKUP($A20,'Unify Report'!$A$1:$V$99,15,FALSE)</f>
        <v>605.5</v>
      </c>
      <c r="Q20">
        <f>ROUND(VLOOKUP($C20,CHPPD!$D$6:$N$100,7,FALSE),1)</f>
        <v>744</v>
      </c>
      <c r="W20" t="s">
        <v>145</v>
      </c>
      <c r="X20" t="s">
        <v>233</v>
      </c>
      <c r="Y20" t="s">
        <v>234</v>
      </c>
      <c r="Z20" t="s">
        <v>230</v>
      </c>
      <c r="AA20" t="s">
        <v>219</v>
      </c>
    </row>
    <row r="21" spans="1:27">
      <c r="A21" s="22" t="s">
        <v>83</v>
      </c>
      <c r="B21" s="22" t="s">
        <v>31</v>
      </c>
      <c r="C21" s="22" t="s">
        <v>125</v>
      </c>
      <c r="D21" t="str">
        <f t="shared" si="0"/>
        <v>RA710</v>
      </c>
      <c r="E21" t="str">
        <f t="shared" si="1"/>
        <v>Bristol Haematology and Oncology Centre - RA710</v>
      </c>
      <c r="F21" t="str">
        <f t="shared" si="4"/>
        <v>D603</v>
      </c>
      <c r="G21" t="str">
        <f t="shared" si="2"/>
        <v>800 - CLINICAL ONCOLOGY</v>
      </c>
      <c r="H21" t="str">
        <f t="shared" si="3"/>
        <v/>
      </c>
      <c r="I21">
        <f>VLOOKUP($A21,'Unify Report'!$A$1:$V$99,4,FALSE)</f>
        <v>2522.1666666666601</v>
      </c>
      <c r="J21">
        <f>VLOOKUP($A21,'Unify Report'!$A$1:$V$99,3,FALSE)</f>
        <v>2335.25</v>
      </c>
      <c r="K21">
        <f>VLOOKUP($A21,'Unify Report'!$A$1:$V$99,8,FALSE)</f>
        <v>1126.8333333333333</v>
      </c>
      <c r="L21">
        <f>VLOOKUP($A21,'Unify Report'!$A$1:$V$99,7,FALSE)</f>
        <v>1120.4166666666665</v>
      </c>
      <c r="M21">
        <f>VLOOKUP($A21,'Unify Report'!$A$1:$V$99,12,FALSE)</f>
        <v>2046</v>
      </c>
      <c r="N21">
        <f>VLOOKUP($A21,'Unify Report'!$A$1:$V$99,11,FALSE)</f>
        <v>1903</v>
      </c>
      <c r="O21">
        <f>VLOOKUP($A21,'Unify Report'!$A$1:$V$99,16,FALSE)</f>
        <v>682</v>
      </c>
      <c r="P21">
        <f>VLOOKUP($A21,'Unify Report'!$A$1:$V$99,15,FALSE)</f>
        <v>693</v>
      </c>
      <c r="Q21">
        <f>ROUND(VLOOKUP($C21,CHPPD!$D$6:$N$100,7,FALSE),1)</f>
        <v>992</v>
      </c>
      <c r="W21" t="s">
        <v>148</v>
      </c>
      <c r="X21" t="s">
        <v>233</v>
      </c>
      <c r="Y21" t="s">
        <v>234</v>
      </c>
      <c r="Z21" t="s">
        <v>236</v>
      </c>
      <c r="AA21" t="s">
        <v>219</v>
      </c>
    </row>
    <row r="22" spans="1:27">
      <c r="A22" s="22" t="s">
        <v>84</v>
      </c>
      <c r="B22" s="22" t="s">
        <v>32</v>
      </c>
      <c r="C22" s="22" t="s">
        <v>126</v>
      </c>
      <c r="D22" t="str">
        <f t="shared" si="0"/>
        <v>RA710</v>
      </c>
      <c r="E22" t="str">
        <f t="shared" si="1"/>
        <v>Bristol Haematology and Oncology Centre - RA710</v>
      </c>
      <c r="F22" t="str">
        <f t="shared" si="4"/>
        <v>D703</v>
      </c>
      <c r="G22" t="str">
        <f t="shared" si="2"/>
        <v>303 - CLINICAL HAEMATOLOGY</v>
      </c>
      <c r="H22" t="str">
        <f t="shared" si="3"/>
        <v/>
      </c>
      <c r="I22">
        <f>VLOOKUP($A22,'Unify Report'!$A$1:$V$99,4,FALSE)</f>
        <v>2632.74999999999</v>
      </c>
      <c r="J22">
        <f>VLOOKUP($A22,'Unify Report'!$A$1:$V$99,3,FALSE)</f>
        <v>2397</v>
      </c>
      <c r="K22">
        <f>VLOOKUP($A22,'Unify Report'!$A$1:$V$99,8,FALSE)</f>
        <v>753.74999999999932</v>
      </c>
      <c r="L22">
        <f>VLOOKUP($A22,'Unify Report'!$A$1:$V$99,7,FALSE)</f>
        <v>721.41666666666663</v>
      </c>
      <c r="M22">
        <f>VLOOKUP($A22,'Unify Report'!$A$1:$V$99,12,FALSE)</f>
        <v>1694</v>
      </c>
      <c r="N22">
        <f>VLOOKUP($A22,'Unify Report'!$A$1:$V$99,11,FALSE)</f>
        <v>1562</v>
      </c>
      <c r="O22">
        <f>VLOOKUP($A22,'Unify Report'!$A$1:$V$99,16,FALSE)</f>
        <v>671</v>
      </c>
      <c r="P22">
        <f>VLOOKUP($A22,'Unify Report'!$A$1:$V$99,15,FALSE)</f>
        <v>649</v>
      </c>
      <c r="Q22">
        <f>ROUND(VLOOKUP($C22,CHPPD!$D$6:$N$100,7,FALSE),1)</f>
        <v>713</v>
      </c>
      <c r="W22" t="s">
        <v>141</v>
      </c>
      <c r="X22" t="s">
        <v>227</v>
      </c>
      <c r="Y22" t="s">
        <v>228</v>
      </c>
      <c r="Z22" t="s">
        <v>237</v>
      </c>
      <c r="AA22" t="s">
        <v>230</v>
      </c>
    </row>
    <row r="23" spans="1:27">
      <c r="A23" s="22" t="s">
        <v>85</v>
      </c>
      <c r="B23" s="22" t="s">
        <v>54</v>
      </c>
      <c r="C23" s="23" t="s">
        <v>127</v>
      </c>
      <c r="D23" t="str">
        <f t="shared" si="0"/>
        <v>RA708</v>
      </c>
      <c r="E23" t="str">
        <f t="shared" si="1"/>
        <v>Bristol Eye Hospital - RA708</v>
      </c>
      <c r="F23" t="str">
        <f t="shared" si="4"/>
        <v>H304A</v>
      </c>
      <c r="G23" t="str">
        <f t="shared" si="2"/>
        <v>130 - OPHTHALMOLOGY</v>
      </c>
      <c r="H23" t="str">
        <f t="shared" si="3"/>
        <v/>
      </c>
      <c r="I23">
        <f>VLOOKUP($A23,'Unify Report'!$A$1:$V$99,4,FALSE)</f>
        <v>1556</v>
      </c>
      <c r="J23">
        <f>VLOOKUP($A23,'Unify Report'!$A$1:$V$99,3,FALSE)</f>
        <v>1453.75</v>
      </c>
      <c r="K23">
        <f>VLOOKUP($A23,'Unify Report'!$A$1:$V$99,8,FALSE)</f>
        <v>1148.5</v>
      </c>
      <c r="L23">
        <f>VLOOKUP($A23,'Unify Report'!$A$1:$V$99,7,FALSE)</f>
        <v>767</v>
      </c>
      <c r="M23">
        <f>VLOOKUP($A23,'Unify Report'!$A$1:$V$99,12,FALSE)</f>
        <v>682</v>
      </c>
      <c r="N23">
        <f>VLOOKUP($A23,'Unify Report'!$A$1:$V$99,11,FALSE)</f>
        <v>704</v>
      </c>
      <c r="O23">
        <f>VLOOKUP($A23,'Unify Report'!$A$1:$V$99,16,FALSE)</f>
        <v>0</v>
      </c>
      <c r="P23">
        <f>VLOOKUP($A23,'Unify Report'!$A$1:$V$99,15,FALSE)</f>
        <v>55</v>
      </c>
      <c r="Q23">
        <f>ROUND(VLOOKUP($C23,CHPPD!$D$6:$N$100,7,FALSE),1)</f>
        <v>341</v>
      </c>
      <c r="W23" t="s">
        <v>135</v>
      </c>
      <c r="X23" t="s">
        <v>227</v>
      </c>
      <c r="Y23" t="s">
        <v>228</v>
      </c>
      <c r="Z23" t="s">
        <v>230</v>
      </c>
      <c r="AA23" t="s">
        <v>238</v>
      </c>
    </row>
    <row r="24" spans="1:27">
      <c r="A24" s="22" t="s">
        <v>86</v>
      </c>
      <c r="B24" s="22" t="s">
        <v>49</v>
      </c>
      <c r="C24" s="22" t="s">
        <v>128</v>
      </c>
      <c r="D24" t="str">
        <f t="shared" si="0"/>
        <v>RA701</v>
      </c>
      <c r="E24" t="str">
        <f t="shared" si="1"/>
        <v>Bristol Royal Infirmary - RA701</v>
      </c>
      <c r="F24" t="str">
        <f t="shared" si="4"/>
        <v>A600</v>
      </c>
      <c r="G24" t="str">
        <f t="shared" si="2"/>
        <v>300 - GENERAL MEDICINE</v>
      </c>
      <c r="H24" t="str">
        <f t="shared" si="3"/>
        <v>100 - GENERAL SURGERY</v>
      </c>
      <c r="I24">
        <f>VLOOKUP($A24,'Unify Report'!$A$1:$V$99,4,FALSE)</f>
        <v>6707.1666666666697</v>
      </c>
      <c r="J24">
        <f>VLOOKUP($A24,'Unify Report'!$A$1:$V$99,3,FALSE)</f>
        <v>6623.25</v>
      </c>
      <c r="K24">
        <f>VLOOKUP($A24,'Unify Report'!$A$1:$V$99,8,FALSE)</f>
        <v>741.75</v>
      </c>
      <c r="L24">
        <f>VLOOKUP($A24,'Unify Report'!$A$1:$V$99,7,FALSE)</f>
        <v>703.75</v>
      </c>
      <c r="M24">
        <f>VLOOKUP($A24,'Unify Report'!$A$1:$V$99,12,FALSE)</f>
        <v>6128</v>
      </c>
      <c r="N24">
        <f>VLOOKUP($A24,'Unify Report'!$A$1:$V$99,11,FALSE)</f>
        <v>6020.5</v>
      </c>
      <c r="O24">
        <f>VLOOKUP($A24,'Unify Report'!$A$1:$V$99,16,FALSE)</f>
        <v>682</v>
      </c>
      <c r="P24">
        <f>VLOOKUP($A24,'Unify Report'!$A$1:$V$99,15,FALSE)</f>
        <v>631</v>
      </c>
      <c r="Q24">
        <f>ROUND(VLOOKUP($C24,CHPPD!$D$6:$N$100,7,FALSE),1)</f>
        <v>620</v>
      </c>
      <c r="W24" t="s">
        <v>139</v>
      </c>
      <c r="X24" t="s">
        <v>227</v>
      </c>
      <c r="Y24" t="s">
        <v>228</v>
      </c>
      <c r="Z24" t="s">
        <v>239</v>
      </c>
      <c r="AA24" t="s">
        <v>240</v>
      </c>
    </row>
    <row r="25" spans="1:27">
      <c r="A25" s="22" t="s">
        <v>87</v>
      </c>
      <c r="B25" s="22" t="s">
        <v>53</v>
      </c>
      <c r="C25" s="22" t="s">
        <v>129</v>
      </c>
      <c r="D25" t="str">
        <f t="shared" si="0"/>
        <v>RA701</v>
      </c>
      <c r="E25" t="str">
        <f t="shared" si="1"/>
        <v>Bristol Royal Infirmary - RA701</v>
      </c>
      <c r="F25" t="str">
        <f t="shared" si="4"/>
        <v>A602</v>
      </c>
      <c r="G25" t="str">
        <f t="shared" si="2"/>
        <v>110 - TRAUMA &amp; ORTHOPAEDICS</v>
      </c>
      <c r="H25" t="str">
        <f t="shared" si="3"/>
        <v>100 - GENERAL SURGERY</v>
      </c>
      <c r="I25">
        <f>VLOOKUP($A25,'Unify Report'!$A$1:$V$99,4,FALSE)</f>
        <v>1076.25</v>
      </c>
      <c r="J25">
        <f>VLOOKUP($A25,'Unify Report'!$A$1:$V$99,3,FALSE)</f>
        <v>1053.75</v>
      </c>
      <c r="K25">
        <f>VLOOKUP($A25,'Unify Report'!$A$1:$V$99,8,FALSE)</f>
        <v>1236</v>
      </c>
      <c r="L25">
        <f>VLOOKUP($A25,'Unify Report'!$A$1:$V$99,7,FALSE)</f>
        <v>981.75</v>
      </c>
      <c r="M25">
        <f>VLOOKUP($A25,'Unify Report'!$A$1:$V$99,12,FALSE)</f>
        <v>713</v>
      </c>
      <c r="N25">
        <f>VLOOKUP($A25,'Unify Report'!$A$1:$V$99,11,FALSE)</f>
        <v>701.5</v>
      </c>
      <c r="O25">
        <f>VLOOKUP($A25,'Unify Report'!$A$1:$V$99,16,FALSE)</f>
        <v>1064.75</v>
      </c>
      <c r="P25">
        <f>VLOOKUP($A25,'Unify Report'!$A$1:$V$99,15,FALSE)</f>
        <v>855.5</v>
      </c>
      <c r="Q25">
        <f>ROUND(VLOOKUP($C25,CHPPD!$D$6:$N$100,7,FALSE),1)</f>
        <v>558</v>
      </c>
      <c r="W25" t="s">
        <v>142</v>
      </c>
      <c r="X25" t="s">
        <v>227</v>
      </c>
      <c r="Y25" t="s">
        <v>228</v>
      </c>
      <c r="Z25" t="s">
        <v>230</v>
      </c>
      <c r="AA25" t="s">
        <v>238</v>
      </c>
    </row>
    <row r="26" spans="1:27">
      <c r="A26" s="22" t="s">
        <v>88</v>
      </c>
      <c r="B26" s="22" t="s">
        <v>51</v>
      </c>
      <c r="C26" s="22" t="s">
        <v>130</v>
      </c>
      <c r="D26" t="str">
        <f t="shared" si="0"/>
        <v>RA701</v>
      </c>
      <c r="E26" t="str">
        <f t="shared" si="1"/>
        <v>Bristol Royal Infirmary - RA701</v>
      </c>
      <c r="F26" t="str">
        <f t="shared" si="4"/>
        <v>A604</v>
      </c>
      <c r="G26" t="str">
        <f t="shared" si="2"/>
        <v>110 - TRAUMA &amp; ORTHOPAEDICS</v>
      </c>
      <c r="H26" t="str">
        <f t="shared" si="3"/>
        <v/>
      </c>
      <c r="I26">
        <f>VLOOKUP($A26,'Unify Report'!$A$1:$V$99,4,FALSE)</f>
        <v>1426.5</v>
      </c>
      <c r="J26">
        <f>VLOOKUP($A26,'Unify Report'!$A$1:$V$99,3,FALSE)</f>
        <v>1407.25</v>
      </c>
      <c r="K26">
        <f>VLOOKUP($A26,'Unify Report'!$A$1:$V$99,8,FALSE)</f>
        <v>1077</v>
      </c>
      <c r="L26">
        <f>VLOOKUP($A26,'Unify Report'!$A$1:$V$99,7,FALSE)</f>
        <v>1054.9166666666667</v>
      </c>
      <c r="M26">
        <f>VLOOKUP($A26,'Unify Report'!$A$1:$V$99,12,FALSE)</f>
        <v>966</v>
      </c>
      <c r="N26">
        <f>VLOOKUP($A26,'Unify Report'!$A$1:$V$99,11,FALSE)</f>
        <v>977.16666666666663</v>
      </c>
      <c r="O26">
        <f>VLOOKUP($A26,'Unify Report'!$A$1:$V$99,16,FALSE)</f>
        <v>713</v>
      </c>
      <c r="P26">
        <f>VLOOKUP($A26,'Unify Report'!$A$1:$V$99,15,FALSE)</f>
        <v>734.5</v>
      </c>
      <c r="Q26">
        <f>ROUND(VLOOKUP($C26,CHPPD!$D$6:$N$100,7,FALSE),1)</f>
        <v>682</v>
      </c>
      <c r="W26" t="s">
        <v>241</v>
      </c>
      <c r="X26" t="s">
        <v>242</v>
      </c>
      <c r="Y26" t="s">
        <v>243</v>
      </c>
      <c r="Z26" t="s">
        <v>244</v>
      </c>
      <c r="AA26" t="s">
        <v>219</v>
      </c>
    </row>
    <row r="27" spans="1:27">
      <c r="A27" s="22" t="s">
        <v>89</v>
      </c>
      <c r="B27" s="22" t="s">
        <v>52</v>
      </c>
      <c r="C27" s="22" t="s">
        <v>131</v>
      </c>
      <c r="D27" t="str">
        <f t="shared" si="0"/>
        <v>RA701</v>
      </c>
      <c r="E27" t="str">
        <f t="shared" si="1"/>
        <v>Bristol Royal Infirmary - RA701</v>
      </c>
      <c r="F27" t="str">
        <f t="shared" si="4"/>
        <v>A609</v>
      </c>
      <c r="G27" t="str">
        <f t="shared" si="2"/>
        <v>100 - GENERAL SURGERY</v>
      </c>
      <c r="H27" t="str">
        <f t="shared" si="3"/>
        <v/>
      </c>
      <c r="I27">
        <f>VLOOKUP($A27,'Unify Report'!$A$1:$V$99,4,FALSE)</f>
        <v>2040</v>
      </c>
      <c r="J27">
        <f>VLOOKUP($A27,'Unify Report'!$A$1:$V$99,3,FALSE)</f>
        <v>1962.5</v>
      </c>
      <c r="K27">
        <f>VLOOKUP($A27,'Unify Report'!$A$1:$V$99,8,FALSE)</f>
        <v>1073.5</v>
      </c>
      <c r="L27">
        <f>VLOOKUP($A27,'Unify Report'!$A$1:$V$99,7,FALSE)</f>
        <v>1083</v>
      </c>
      <c r="M27">
        <f>VLOOKUP($A27,'Unify Report'!$A$1:$V$99,12,FALSE)</f>
        <v>1426</v>
      </c>
      <c r="N27">
        <f>VLOOKUP($A27,'Unify Report'!$A$1:$V$99,11,FALSE)</f>
        <v>1413.4166666666665</v>
      </c>
      <c r="O27">
        <f>VLOOKUP($A27,'Unify Report'!$A$1:$V$99,16,FALSE)</f>
        <v>713</v>
      </c>
      <c r="P27">
        <f>VLOOKUP($A27,'Unify Report'!$A$1:$V$99,15,FALSE)</f>
        <v>708.16666666666663</v>
      </c>
      <c r="Q27">
        <f>ROUND(VLOOKUP($C27,CHPPD!$D$6:$N$100,7,FALSE),1)</f>
        <v>713</v>
      </c>
      <c r="W27" t="s">
        <v>127</v>
      </c>
      <c r="X27" t="s">
        <v>242</v>
      </c>
      <c r="Y27" t="s">
        <v>243</v>
      </c>
      <c r="Z27" t="s">
        <v>244</v>
      </c>
    </row>
    <row r="28" spans="1:27">
      <c r="A28" s="22" t="s">
        <v>90</v>
      </c>
      <c r="B28" s="22" t="s">
        <v>48</v>
      </c>
      <c r="C28" s="22" t="s">
        <v>132</v>
      </c>
      <c r="D28" t="str">
        <f t="shared" si="0"/>
        <v>RA701</v>
      </c>
      <c r="E28" t="str">
        <f t="shared" si="1"/>
        <v>Bristol Royal Infirmary - RA701</v>
      </c>
      <c r="F28" t="str">
        <f t="shared" si="4"/>
        <v>A700</v>
      </c>
      <c r="G28" t="str">
        <f t="shared" si="2"/>
        <v>100 - GENERAL SURGERY</v>
      </c>
      <c r="H28" t="str">
        <f t="shared" si="3"/>
        <v/>
      </c>
      <c r="I28">
        <f>VLOOKUP($A28,'Unify Report'!$A$1:$V$99,4,FALSE)</f>
        <v>2275.75</v>
      </c>
      <c r="J28">
        <f>VLOOKUP($A28,'Unify Report'!$A$1:$V$99,3,FALSE)</f>
        <v>2284</v>
      </c>
      <c r="K28">
        <f>VLOOKUP($A28,'Unify Report'!$A$1:$V$99,8,FALSE)</f>
        <v>1270.5</v>
      </c>
      <c r="L28">
        <f>VLOOKUP($A28,'Unify Report'!$A$1:$V$99,7,FALSE)</f>
        <v>1311</v>
      </c>
      <c r="M28">
        <f>VLOOKUP($A28,'Unify Report'!$A$1:$V$99,12,FALSE)</f>
        <v>1782.5</v>
      </c>
      <c r="N28">
        <f>VLOOKUP($A28,'Unify Report'!$A$1:$V$99,11,FALSE)</f>
        <v>1805.5</v>
      </c>
      <c r="O28">
        <f>VLOOKUP($A28,'Unify Report'!$A$1:$V$99,16,FALSE)</f>
        <v>1426</v>
      </c>
      <c r="P28">
        <f>VLOOKUP($A28,'Unify Report'!$A$1:$V$99,15,FALSE)</f>
        <v>1506.5</v>
      </c>
      <c r="Q28">
        <f>ROUND(VLOOKUP($C28,CHPPD!$D$6:$N$100,7,FALSE),1)</f>
        <v>992</v>
      </c>
      <c r="W28" t="s">
        <v>125</v>
      </c>
      <c r="X28" t="s">
        <v>245</v>
      </c>
      <c r="Y28" t="s">
        <v>246</v>
      </c>
      <c r="Z28" t="s">
        <v>239</v>
      </c>
      <c r="AA28" t="s">
        <v>219</v>
      </c>
    </row>
    <row r="29" spans="1:27">
      <c r="A29" s="22" t="s">
        <v>91</v>
      </c>
      <c r="B29" s="22" t="s">
        <v>50</v>
      </c>
      <c r="C29" s="22" t="s">
        <v>133</v>
      </c>
      <c r="D29" t="str">
        <f t="shared" si="0"/>
        <v>RA701</v>
      </c>
      <c r="E29" t="str">
        <f t="shared" si="1"/>
        <v>Bristol Royal Infirmary - RA701</v>
      </c>
      <c r="F29" t="str">
        <f t="shared" si="4"/>
        <v>A800</v>
      </c>
      <c r="G29" t="str">
        <f t="shared" si="2"/>
        <v>100 - GENERAL SURGERY</v>
      </c>
      <c r="H29" t="str">
        <f t="shared" si="3"/>
        <v/>
      </c>
      <c r="I29">
        <f>VLOOKUP($A29,'Unify Report'!$A$1:$V$99,4,FALSE)</f>
        <v>2143</v>
      </c>
      <c r="J29">
        <f>VLOOKUP($A29,'Unify Report'!$A$1:$V$99,3,FALSE)</f>
        <v>2138</v>
      </c>
      <c r="K29">
        <f>VLOOKUP($A29,'Unify Report'!$A$1:$V$99,8,FALSE)</f>
        <v>1441</v>
      </c>
      <c r="L29">
        <f>VLOOKUP($A29,'Unify Report'!$A$1:$V$99,7,FALSE)</f>
        <v>1436</v>
      </c>
      <c r="M29">
        <f>VLOOKUP($A29,'Unify Report'!$A$1:$V$99,12,FALSE)</f>
        <v>1754.5</v>
      </c>
      <c r="N29">
        <f>VLOOKUP($A29,'Unify Report'!$A$1:$V$99,11,FALSE)</f>
        <v>1769.5</v>
      </c>
      <c r="O29">
        <f>VLOOKUP($A29,'Unify Report'!$A$1:$V$99,16,FALSE)</f>
        <v>1368</v>
      </c>
      <c r="P29">
        <f>VLOOKUP($A29,'Unify Report'!$A$1:$V$99,15,FALSE)</f>
        <v>1435.5</v>
      </c>
      <c r="Q29">
        <f>ROUND(VLOOKUP($C29,CHPPD!$D$6:$N$100,7,FALSE),1)</f>
        <v>992</v>
      </c>
      <c r="W29" t="s">
        <v>126</v>
      </c>
      <c r="X29" t="s">
        <v>245</v>
      </c>
      <c r="Y29" t="s">
        <v>246</v>
      </c>
      <c r="Z29" t="s">
        <v>247</v>
      </c>
      <c r="AA29" t="s">
        <v>219</v>
      </c>
    </row>
    <row r="30" spans="1:27">
      <c r="A30" s="22" t="s">
        <v>92</v>
      </c>
      <c r="B30" s="22" t="s">
        <v>40</v>
      </c>
      <c r="C30" s="22" t="s">
        <v>134</v>
      </c>
      <c r="D30" t="str">
        <f t="shared" si="0"/>
        <v>RA723</v>
      </c>
      <c r="E30" t="str">
        <f t="shared" si="1"/>
        <v>Bristol Royal Hospital For Children - RA723</v>
      </c>
      <c r="F30" t="str">
        <f t="shared" si="4"/>
        <v>PICU</v>
      </c>
      <c r="G30" t="str">
        <f t="shared" si="2"/>
        <v>171 - PAEDIATRIC SURGERY</v>
      </c>
      <c r="H30" t="str">
        <f t="shared" si="3"/>
        <v>321 - PAEDIATRIC CARDIOLOGY</v>
      </c>
      <c r="I30">
        <f>VLOOKUP($A30,'Unify Report'!$A$1:$V$99,4,FALSE)</f>
        <v>6846</v>
      </c>
      <c r="J30">
        <f>VLOOKUP($A30,'Unify Report'!$A$1:$V$99,3,FALSE)</f>
        <v>5321.6</v>
      </c>
      <c r="K30">
        <f>VLOOKUP($A30,'Unify Report'!$A$1:$V$99,8,FALSE)</f>
        <v>360</v>
      </c>
      <c r="L30">
        <f>VLOOKUP($A30,'Unify Report'!$A$1:$V$99,7,FALSE)</f>
        <v>66</v>
      </c>
      <c r="M30">
        <f>VLOOKUP($A30,'Unify Report'!$A$1:$V$99,12,FALSE)</f>
        <v>6773.5</v>
      </c>
      <c r="N30">
        <f>VLOOKUP($A30,'Unify Report'!$A$1:$V$99,11,FALSE)</f>
        <v>5151</v>
      </c>
      <c r="O30">
        <f>VLOOKUP($A30,'Unify Report'!$A$1:$V$99,16,FALSE)</f>
        <v>356.5</v>
      </c>
      <c r="P30">
        <f>VLOOKUP($A30,'Unify Report'!$A$1:$V$99,15,FALSE)</f>
        <v>161</v>
      </c>
      <c r="Q30">
        <f>ROUND(VLOOKUP($C30,CHPPD!$D$6:$N$100,7,FALSE),1)</f>
        <v>527</v>
      </c>
      <c r="W30" t="s">
        <v>248</v>
      </c>
      <c r="X30" t="s">
        <v>214</v>
      </c>
      <c r="Y30" t="s">
        <v>215</v>
      </c>
      <c r="Z30" t="s">
        <v>216</v>
      </c>
      <c r="AA30" t="s">
        <v>249</v>
      </c>
    </row>
    <row r="31" spans="1:27">
      <c r="A31" s="22" t="s">
        <v>93</v>
      </c>
      <c r="B31" s="22" t="s">
        <v>35</v>
      </c>
      <c r="C31" s="23" t="s">
        <v>135</v>
      </c>
      <c r="D31" t="str">
        <f t="shared" si="0"/>
        <v>RA723</v>
      </c>
      <c r="E31" t="str">
        <f t="shared" si="1"/>
        <v>Bristol Royal Hospital For Children - RA723</v>
      </c>
      <c r="F31" t="str">
        <f t="shared" si="4"/>
        <v>30</v>
      </c>
      <c r="G31" t="str">
        <f t="shared" si="2"/>
        <v>420 - PAEDIATRICS</v>
      </c>
      <c r="H31" t="str">
        <f t="shared" si="3"/>
        <v>421 - PAEDIATRIC NEUROLOGY</v>
      </c>
      <c r="I31">
        <f>VLOOKUP($A31,'Unify Report'!$A$1:$V$99,4,FALSE)</f>
        <v>4101.25</v>
      </c>
      <c r="J31">
        <f>VLOOKUP($A31,'Unify Report'!$A$1:$V$99,3,FALSE)</f>
        <v>3646.9166666666665</v>
      </c>
      <c r="K31">
        <f>VLOOKUP($A31,'Unify Report'!$A$1:$V$99,8,FALSE)</f>
        <v>358.5</v>
      </c>
      <c r="L31">
        <f>VLOOKUP($A31,'Unify Report'!$A$1:$V$99,7,FALSE)</f>
        <v>387</v>
      </c>
      <c r="M31">
        <f>VLOOKUP($A31,'Unify Report'!$A$1:$V$99,12,FALSE)</f>
        <v>4025</v>
      </c>
      <c r="N31">
        <f>VLOOKUP($A31,'Unify Report'!$A$1:$V$99,11,FALSE)</f>
        <v>3386.25</v>
      </c>
      <c r="O31">
        <f>VLOOKUP($A31,'Unify Report'!$A$1:$V$99,16,FALSE)</f>
        <v>356.5</v>
      </c>
      <c r="P31">
        <f>VLOOKUP($A31,'Unify Report'!$A$1:$V$99,15,FALSE)</f>
        <v>506.16666666666669</v>
      </c>
      <c r="Q31">
        <f>ROUND(VLOOKUP($C31,CHPPD!$D$6:$N$100,7,FALSE),1)</f>
        <v>837</v>
      </c>
      <c r="W31" t="s">
        <v>112</v>
      </c>
      <c r="X31" t="s">
        <v>214</v>
      </c>
      <c r="Y31" t="s">
        <v>215</v>
      </c>
      <c r="Z31" t="s">
        <v>216</v>
      </c>
      <c r="AA31" t="s">
        <v>249</v>
      </c>
    </row>
    <row r="32" spans="1:27">
      <c r="A32" s="22" t="s">
        <v>94</v>
      </c>
      <c r="B32" s="22" t="s">
        <v>37</v>
      </c>
      <c r="C32" s="23" t="s">
        <v>136</v>
      </c>
      <c r="D32" t="str">
        <f t="shared" si="0"/>
        <v>RA723</v>
      </c>
      <c r="E32" t="str">
        <f t="shared" si="1"/>
        <v>Bristol Royal Hospital For Children - RA723</v>
      </c>
      <c r="F32" t="str">
        <f t="shared" si="4"/>
        <v>31</v>
      </c>
      <c r="G32" t="str">
        <f t="shared" si="2"/>
        <v>171 - PAEDIATRIC SURGERY</v>
      </c>
      <c r="H32" t="str">
        <f t="shared" si="3"/>
        <v>420 - PAEDIATRICS</v>
      </c>
      <c r="I32">
        <f>VLOOKUP($A32,'Unify Report'!$A$1:$V$99,4,FALSE)</f>
        <v>2332.5</v>
      </c>
      <c r="J32">
        <f>VLOOKUP($A32,'Unify Report'!$A$1:$V$99,3,FALSE)</f>
        <v>2337</v>
      </c>
      <c r="K32">
        <f>VLOOKUP($A32,'Unify Report'!$A$1:$V$99,8,FALSE)</f>
        <v>357</v>
      </c>
      <c r="L32">
        <f>VLOOKUP($A32,'Unify Report'!$A$1:$V$99,7,FALSE)</f>
        <v>376.5</v>
      </c>
      <c r="M32">
        <f>VLOOKUP($A32,'Unify Report'!$A$1:$V$99,12,FALSE)</f>
        <v>1644.5</v>
      </c>
      <c r="N32">
        <f>VLOOKUP($A32,'Unify Report'!$A$1:$V$99,11,FALSE)</f>
        <v>1686</v>
      </c>
      <c r="O32">
        <f>VLOOKUP($A32,'Unify Report'!$A$1:$V$99,16,FALSE)</f>
        <v>356.5</v>
      </c>
      <c r="P32">
        <f>VLOOKUP($A32,'Unify Report'!$A$1:$V$99,15,FALSE)</f>
        <v>391</v>
      </c>
      <c r="Q32">
        <f>ROUND(VLOOKUP($C32,CHPPD!$D$6:$N$100,7,FALSE),1)</f>
        <v>682</v>
      </c>
      <c r="W32" t="s">
        <v>120</v>
      </c>
      <c r="X32" t="s">
        <v>214</v>
      </c>
      <c r="Y32" t="s">
        <v>215</v>
      </c>
      <c r="Z32" t="s">
        <v>226</v>
      </c>
      <c r="AA32" t="s">
        <v>219</v>
      </c>
    </row>
    <row r="33" spans="1:27">
      <c r="A33" s="22" t="s">
        <v>95</v>
      </c>
      <c r="B33" s="22" t="s">
        <v>39</v>
      </c>
      <c r="C33" s="23" t="s">
        <v>137</v>
      </c>
      <c r="D33" t="str">
        <f t="shared" si="0"/>
        <v>RA723</v>
      </c>
      <c r="E33" t="str">
        <f t="shared" si="1"/>
        <v>Bristol Royal Hospital For Children - RA723</v>
      </c>
      <c r="F33" t="str">
        <f t="shared" si="4"/>
        <v>32</v>
      </c>
      <c r="G33" t="str">
        <f t="shared" si="2"/>
        <v>321 - PAEDIATRIC CARDIOLOGY</v>
      </c>
      <c r="H33" t="str">
        <f t="shared" si="3"/>
        <v/>
      </c>
      <c r="I33">
        <f>VLOOKUP($A33,'Unify Report'!$A$1:$V$99,4,FALSE)</f>
        <v>2145.5</v>
      </c>
      <c r="J33">
        <f>VLOOKUP($A33,'Unify Report'!$A$1:$V$99,3,FALSE)</f>
        <v>1926.5</v>
      </c>
      <c r="K33">
        <f>VLOOKUP($A33,'Unify Report'!$A$1:$V$99,8,FALSE)</f>
        <v>350.5</v>
      </c>
      <c r="L33">
        <f>VLOOKUP($A33,'Unify Report'!$A$1:$V$99,7,FALSE)</f>
        <v>437.5</v>
      </c>
      <c r="M33">
        <f>VLOOKUP($A33,'Unify Report'!$A$1:$V$99,12,FALSE)</f>
        <v>1782.5</v>
      </c>
      <c r="N33">
        <f>VLOOKUP($A33,'Unify Report'!$A$1:$V$99,11,FALSE)</f>
        <v>1554.5</v>
      </c>
      <c r="O33">
        <f>VLOOKUP($A33,'Unify Report'!$A$1:$V$99,16,FALSE)</f>
        <v>356.5</v>
      </c>
      <c r="P33">
        <f>VLOOKUP($A33,'Unify Report'!$A$1:$V$99,15,FALSE)</f>
        <v>310.5</v>
      </c>
      <c r="Q33">
        <f>ROUND(VLOOKUP($C33,CHPPD!$D$6:$N$100,7,FALSE),1)</f>
        <v>496</v>
      </c>
      <c r="W33" t="s">
        <v>110</v>
      </c>
      <c r="X33" t="s">
        <v>214</v>
      </c>
      <c r="Y33" t="s">
        <v>215</v>
      </c>
      <c r="Z33" t="s">
        <v>216</v>
      </c>
      <c r="AA33" t="s">
        <v>249</v>
      </c>
    </row>
    <row r="34" spans="1:27">
      <c r="A34" s="22" t="s">
        <v>96</v>
      </c>
      <c r="B34" s="22" t="s">
        <v>38</v>
      </c>
      <c r="C34" s="23" t="s">
        <v>138</v>
      </c>
      <c r="D34" t="str">
        <f t="shared" si="0"/>
        <v>RA723</v>
      </c>
      <c r="E34" t="str">
        <f t="shared" si="1"/>
        <v>Bristol Royal Hospital For Children - RA723</v>
      </c>
      <c r="F34" t="str">
        <f t="shared" si="4"/>
        <v>33</v>
      </c>
      <c r="G34" t="str">
        <f t="shared" si="2"/>
        <v>420 - PAEDIATRICS</v>
      </c>
      <c r="H34" t="str">
        <f t="shared" si="3"/>
        <v/>
      </c>
      <c r="I34">
        <f>VLOOKUP($A34,'Unify Report'!$A$1:$V$99,4,FALSE)</f>
        <v>1783</v>
      </c>
      <c r="J34">
        <f>VLOOKUP($A34,'Unify Report'!$A$1:$V$99,3,FALSE)</f>
        <v>1648.25</v>
      </c>
      <c r="K34">
        <f>VLOOKUP($A34,'Unify Report'!$A$1:$V$99,8,FALSE)</f>
        <v>356.5</v>
      </c>
      <c r="L34">
        <f>VLOOKUP($A34,'Unify Report'!$A$1:$V$99,7,FALSE)</f>
        <v>254.5</v>
      </c>
      <c r="M34">
        <f>VLOOKUP($A34,'Unify Report'!$A$1:$V$99,12,FALSE)</f>
        <v>1779</v>
      </c>
      <c r="N34">
        <f>VLOOKUP($A34,'Unify Report'!$A$1:$V$99,11,FALSE)</f>
        <v>1469</v>
      </c>
      <c r="O34">
        <f>VLOOKUP($A34,'Unify Report'!$A$1:$V$99,16,FALSE)</f>
        <v>354.51666666666699</v>
      </c>
      <c r="P34">
        <f>VLOOKUP($A34,'Unify Report'!$A$1:$V$99,15,FALSE)</f>
        <v>313.5</v>
      </c>
      <c r="Q34">
        <f>ROUND(VLOOKUP($C34,CHPPD!$D$6:$N$100,7,FALSE),1)</f>
        <v>279</v>
      </c>
      <c r="W34" t="s">
        <v>250</v>
      </c>
      <c r="X34" t="s">
        <v>214</v>
      </c>
      <c r="Y34" t="s">
        <v>215</v>
      </c>
      <c r="Z34" t="s">
        <v>216</v>
      </c>
      <c r="AA34" t="s">
        <v>219</v>
      </c>
    </row>
    <row r="35" spans="1:27">
      <c r="A35" s="22" t="s">
        <v>97</v>
      </c>
      <c r="B35" s="22" t="s">
        <v>36</v>
      </c>
      <c r="C35" s="23" t="s">
        <v>139</v>
      </c>
      <c r="D35" t="str">
        <f t="shared" si="0"/>
        <v>RA723</v>
      </c>
      <c r="E35" t="str">
        <f t="shared" si="1"/>
        <v>Bristol Royal Hospital For Children - RA723</v>
      </c>
      <c r="F35" t="str">
        <f t="shared" si="4"/>
        <v>34</v>
      </c>
      <c r="G35" t="str">
        <f t="shared" si="2"/>
        <v>800 - CLINICAL ONCOLOGY</v>
      </c>
      <c r="H35" t="str">
        <f t="shared" si="3"/>
        <v>823 - HAEMATOLOGY</v>
      </c>
      <c r="I35">
        <f>VLOOKUP($A35,'Unify Report'!$A$1:$V$99,4,FALSE)</f>
        <v>2501</v>
      </c>
      <c r="J35">
        <f>VLOOKUP($A35,'Unify Report'!$A$1:$V$99,3,FALSE)</f>
        <v>2350.25</v>
      </c>
      <c r="K35">
        <f>VLOOKUP($A35,'Unify Report'!$A$1:$V$99,8,FALSE)</f>
        <v>362.5</v>
      </c>
      <c r="L35">
        <f>VLOOKUP($A35,'Unify Report'!$A$1:$V$99,7,FALSE)</f>
        <v>314.5</v>
      </c>
      <c r="M35">
        <f>VLOOKUP($A35,'Unify Report'!$A$1:$V$99,12,FALSE)</f>
        <v>2047</v>
      </c>
      <c r="N35">
        <f>VLOOKUP($A35,'Unify Report'!$A$1:$V$99,11,FALSE)</f>
        <v>1910</v>
      </c>
      <c r="O35">
        <f>VLOOKUP($A35,'Unify Report'!$A$1:$V$99,16,FALSE)</f>
        <v>356.5</v>
      </c>
      <c r="P35">
        <f>VLOOKUP($A35,'Unify Report'!$A$1:$V$99,15,FALSE)</f>
        <v>303.5</v>
      </c>
      <c r="Q35">
        <f>ROUND(VLOOKUP($C35,CHPPD!$D$6:$N$100,7,FALSE),1)</f>
        <v>496</v>
      </c>
      <c r="W35" t="s">
        <v>107</v>
      </c>
      <c r="X35" t="s">
        <v>214</v>
      </c>
      <c r="Y35" t="s">
        <v>215</v>
      </c>
      <c r="Z35" t="s">
        <v>216</v>
      </c>
      <c r="AA35" t="s">
        <v>219</v>
      </c>
    </row>
    <row r="36" spans="1:27">
      <c r="A36" s="22" t="s">
        <v>98</v>
      </c>
      <c r="B36" s="22" t="s">
        <v>33</v>
      </c>
      <c r="C36" s="23" t="s">
        <v>140</v>
      </c>
      <c r="D36" t="str">
        <f t="shared" si="0"/>
        <v>RA723</v>
      </c>
      <c r="E36" t="str">
        <f t="shared" si="1"/>
        <v>Bristol Royal Hospital For Children - RA723</v>
      </c>
      <c r="F36" t="str">
        <f t="shared" si="4"/>
        <v>35</v>
      </c>
      <c r="G36" t="str">
        <f t="shared" si="2"/>
        <v>420 - PAEDIATRICS</v>
      </c>
      <c r="H36" t="str">
        <f t="shared" si="3"/>
        <v>171 - PAEDIATRIC SURGERY</v>
      </c>
      <c r="I36">
        <f>VLOOKUP($A36,'Unify Report'!$A$1:$V$99,4,FALSE)</f>
        <v>1419.5</v>
      </c>
      <c r="J36">
        <f>VLOOKUP($A36,'Unify Report'!$A$1:$V$99,3,FALSE)</f>
        <v>1430.5</v>
      </c>
      <c r="K36">
        <f>VLOOKUP($A36,'Unify Report'!$A$1:$V$99,8,FALSE)</f>
        <v>350</v>
      </c>
      <c r="L36">
        <f>VLOOKUP($A36,'Unify Report'!$A$1:$V$99,7,FALSE)</f>
        <v>534.5</v>
      </c>
      <c r="M36">
        <f>VLOOKUP($A36,'Unify Report'!$A$1:$V$99,12,FALSE)</f>
        <v>1414.5</v>
      </c>
      <c r="N36">
        <f>VLOOKUP($A36,'Unify Report'!$A$1:$V$99,11,FALSE)</f>
        <v>1396.9</v>
      </c>
      <c r="O36">
        <f>VLOOKUP($A36,'Unify Report'!$A$1:$V$99,16,FALSE)</f>
        <v>356.5</v>
      </c>
      <c r="P36">
        <f>VLOOKUP($A36,'Unify Report'!$A$1:$V$99,15,FALSE)</f>
        <v>460</v>
      </c>
      <c r="Q36">
        <f>ROUND(VLOOKUP($C36,CHPPD!$D$6:$N$100,7,FALSE),1)</f>
        <v>434</v>
      </c>
      <c r="W36" t="s">
        <v>251</v>
      </c>
      <c r="X36" t="s">
        <v>214</v>
      </c>
      <c r="Y36" t="s">
        <v>215</v>
      </c>
      <c r="Z36" t="s">
        <v>216</v>
      </c>
      <c r="AA36" t="s">
        <v>219</v>
      </c>
    </row>
    <row r="37" spans="1:27">
      <c r="A37" s="22" t="s">
        <v>99</v>
      </c>
      <c r="B37" s="22" t="s">
        <v>34</v>
      </c>
      <c r="C37" s="23" t="s">
        <v>141</v>
      </c>
      <c r="D37" t="str">
        <f t="shared" si="0"/>
        <v>RA723</v>
      </c>
      <c r="E37" t="str">
        <f t="shared" si="1"/>
        <v>Bristol Royal Hospital For Children - RA723</v>
      </c>
      <c r="F37" t="str">
        <f t="shared" si="4"/>
        <v>37</v>
      </c>
      <c r="G37" t="str">
        <f t="shared" si="2"/>
        <v>361 - NEPHROLOGY</v>
      </c>
      <c r="H37" t="str">
        <f t="shared" si="3"/>
        <v>420 - PAEDIATRICS</v>
      </c>
      <c r="I37">
        <f>VLOOKUP($A37,'Unify Report'!$A$1:$V$99,4,FALSE)</f>
        <v>1096</v>
      </c>
      <c r="J37">
        <f>VLOOKUP($A37,'Unify Report'!$A$1:$V$99,3,FALSE)</f>
        <v>1053.75</v>
      </c>
      <c r="K37">
        <f>VLOOKUP($A37,'Unify Report'!$A$1:$V$99,8,FALSE)</f>
        <v>0</v>
      </c>
      <c r="L37">
        <f>VLOOKUP($A37,'Unify Report'!$A$1:$V$99,7,FALSE)</f>
        <v>40</v>
      </c>
      <c r="M37">
        <f>VLOOKUP($A37,'Unify Report'!$A$1:$V$99,12,FALSE)</f>
        <v>1101.5</v>
      </c>
      <c r="N37">
        <f>VLOOKUP($A37,'Unify Report'!$A$1:$V$99,11,FALSE)</f>
        <v>1039.5</v>
      </c>
      <c r="O37">
        <f>VLOOKUP($A37,'Unify Report'!$A$1:$V$99,16,FALSE)</f>
        <v>0</v>
      </c>
      <c r="P37">
        <f>VLOOKUP($A37,'Unify Report'!$A$1:$V$99,15,FALSE)</f>
        <v>0</v>
      </c>
      <c r="Q37">
        <f>ROUND(VLOOKUP($C37,CHPPD!$D$6:$N$100,7,FALSE),1)</f>
        <v>279</v>
      </c>
      <c r="W37" t="s">
        <v>252</v>
      </c>
      <c r="X37" t="s">
        <v>214</v>
      </c>
      <c r="Y37" t="s">
        <v>215</v>
      </c>
      <c r="Z37" t="s">
        <v>216</v>
      </c>
      <c r="AA37" t="s">
        <v>249</v>
      </c>
    </row>
    <row r="38" spans="1:27">
      <c r="A38" s="22" t="s">
        <v>100</v>
      </c>
      <c r="B38" s="22" t="s">
        <v>41</v>
      </c>
      <c r="C38" s="23" t="s">
        <v>142</v>
      </c>
      <c r="D38" t="str">
        <f t="shared" si="0"/>
        <v>RA723</v>
      </c>
      <c r="E38" t="str">
        <f t="shared" si="1"/>
        <v>Bristol Royal Hospital For Children - RA723</v>
      </c>
      <c r="F38" t="str">
        <f t="shared" si="4"/>
        <v>38</v>
      </c>
      <c r="G38" t="str">
        <f t="shared" si="2"/>
        <v>420 - PAEDIATRICS</v>
      </c>
      <c r="H38" t="str">
        <f t="shared" si="3"/>
        <v>421 - PAEDIATRIC NEUROLOGY</v>
      </c>
      <c r="I38">
        <f>VLOOKUP($A38,'Unify Report'!$A$1:$V$99,4,FALSE)</f>
        <v>2376</v>
      </c>
      <c r="J38">
        <f>VLOOKUP($A38,'Unify Report'!$A$1:$V$99,3,FALSE)</f>
        <v>2145.6666666666665</v>
      </c>
      <c r="K38">
        <f>VLOOKUP($A38,'Unify Report'!$A$1:$V$99,8,FALSE)</f>
        <v>721</v>
      </c>
      <c r="L38">
        <f>VLOOKUP($A38,'Unify Report'!$A$1:$V$99,7,FALSE)</f>
        <v>766.5</v>
      </c>
      <c r="M38">
        <f>VLOOKUP($A38,'Unify Report'!$A$1:$V$99,12,FALSE)</f>
        <v>2346</v>
      </c>
      <c r="N38">
        <f>VLOOKUP($A38,'Unify Report'!$A$1:$V$99,11,FALSE)</f>
        <v>2151</v>
      </c>
      <c r="O38">
        <f>VLOOKUP($A38,'Unify Report'!$A$1:$V$99,16,FALSE)</f>
        <v>713</v>
      </c>
      <c r="P38">
        <f>VLOOKUP($A38,'Unify Report'!$A$1:$V$99,15,FALSE)</f>
        <v>607.5</v>
      </c>
      <c r="Q38">
        <f>ROUND(VLOOKUP($C38,CHPPD!$D$6:$N$100,7,FALSE),1)</f>
        <v>495</v>
      </c>
      <c r="W38" t="s">
        <v>253</v>
      </c>
      <c r="X38" t="s">
        <v>214</v>
      </c>
      <c r="Y38" t="s">
        <v>215</v>
      </c>
      <c r="Z38" t="s">
        <v>216</v>
      </c>
      <c r="AA38" t="s">
        <v>249</v>
      </c>
    </row>
    <row r="39" spans="1:27">
      <c r="A39" s="22" t="s">
        <v>101</v>
      </c>
      <c r="B39" s="22" t="s">
        <v>45</v>
      </c>
      <c r="C39" s="22" t="s">
        <v>143</v>
      </c>
      <c r="D39" t="str">
        <f t="shared" si="0"/>
        <v>RA707</v>
      </c>
      <c r="E39" t="str">
        <f t="shared" si="1"/>
        <v>St Michael's Hospital - RA707</v>
      </c>
      <c r="F39" t="str">
        <f t="shared" si="4"/>
        <v>MLU</v>
      </c>
      <c r="G39" t="str">
        <f t="shared" si="2"/>
        <v>501 - OBSTETRICS</v>
      </c>
      <c r="H39" t="str">
        <f t="shared" si="3"/>
        <v/>
      </c>
      <c r="I39">
        <f>VLOOKUP($A39,'Unify Report'!$A$1:$V$99,4,FALSE)</f>
        <v>774</v>
      </c>
      <c r="J39">
        <f>VLOOKUP($A39,'Unify Report'!$A$1:$V$99,3,FALSE)</f>
        <v>696</v>
      </c>
      <c r="K39">
        <f>VLOOKUP($A39,'Unify Report'!$A$1:$V$99,8,FALSE)</f>
        <v>0</v>
      </c>
      <c r="L39">
        <f>VLOOKUP($A39,'Unify Report'!$A$1:$V$99,7,FALSE)</f>
        <v>0</v>
      </c>
      <c r="M39">
        <f>VLOOKUP($A39,'Unify Report'!$A$1:$V$99,12,FALSE)</f>
        <v>744</v>
      </c>
      <c r="N39">
        <f>VLOOKUP($A39,'Unify Report'!$A$1:$V$99,11,FALSE)</f>
        <v>720</v>
      </c>
      <c r="O39">
        <f>VLOOKUP($A39,'Unify Report'!$A$1:$V$99,16,FALSE)</f>
        <v>0</v>
      </c>
      <c r="P39">
        <f>VLOOKUP($A39,'Unify Report'!$A$1:$V$99,15,FALSE)</f>
        <v>0</v>
      </c>
      <c r="Q39">
        <f>ROUND(VLOOKUP($C39,CHPPD!$D$6:$N$100,7,FALSE),1)</f>
        <v>124</v>
      </c>
      <c r="W39" t="s">
        <v>254</v>
      </c>
      <c r="X39" t="s">
        <v>214</v>
      </c>
      <c r="Y39" t="s">
        <v>215</v>
      </c>
      <c r="Z39" t="s">
        <v>216</v>
      </c>
      <c r="AA39" t="s">
        <v>249</v>
      </c>
    </row>
    <row r="40" spans="1:27">
      <c r="A40" s="22" t="s">
        <v>102</v>
      </c>
      <c r="B40" s="22" t="s">
        <v>44</v>
      </c>
      <c r="C40" s="23" t="s">
        <v>144</v>
      </c>
      <c r="D40" t="str">
        <f t="shared" si="0"/>
        <v>RA707</v>
      </c>
      <c r="E40" t="str">
        <f t="shared" si="1"/>
        <v>St Michael's Hospital - RA707</v>
      </c>
      <c r="F40" t="str">
        <f t="shared" si="4"/>
        <v>73</v>
      </c>
      <c r="G40" t="str">
        <f t="shared" si="2"/>
        <v>501 - OBSTETRICS</v>
      </c>
      <c r="H40" t="str">
        <f t="shared" si="3"/>
        <v/>
      </c>
      <c r="I40">
        <f>VLOOKUP($A40,'Unify Report'!$A$1:$V$99,4,FALSE)</f>
        <v>2638</v>
      </c>
      <c r="J40">
        <f>VLOOKUP($A40,'Unify Report'!$A$1:$V$99,3,FALSE)</f>
        <v>2409.25</v>
      </c>
      <c r="K40">
        <f>VLOOKUP($A40,'Unify Report'!$A$1:$V$99,8,FALSE)</f>
        <v>1204.5</v>
      </c>
      <c r="L40">
        <f>VLOOKUP($A40,'Unify Report'!$A$1:$V$99,7,FALSE)</f>
        <v>856.5</v>
      </c>
      <c r="M40">
        <f>VLOOKUP($A40,'Unify Report'!$A$1:$V$99,12,FALSE)</f>
        <v>2508</v>
      </c>
      <c r="N40">
        <f>VLOOKUP($A40,'Unify Report'!$A$1:$V$99,11,FALSE)</f>
        <v>2198</v>
      </c>
      <c r="O40">
        <f>VLOOKUP($A40,'Unify Report'!$A$1:$V$99,16,FALSE)</f>
        <v>744</v>
      </c>
      <c r="P40">
        <f>VLOOKUP($A40,'Unify Report'!$A$1:$V$99,15,FALSE)</f>
        <v>594</v>
      </c>
      <c r="Q40">
        <f>ROUND(VLOOKUP($C40,CHPPD!$D$6:$N$100,7,FALSE),1)</f>
        <v>1178</v>
      </c>
      <c r="W40" t="s">
        <v>255</v>
      </c>
      <c r="X40" t="s">
        <v>214</v>
      </c>
      <c r="Y40" t="s">
        <v>215</v>
      </c>
      <c r="Z40" t="s">
        <v>216</v>
      </c>
      <c r="AA40" t="s">
        <v>249</v>
      </c>
    </row>
    <row r="41" spans="1:27">
      <c r="A41" s="22" t="s">
        <v>103</v>
      </c>
      <c r="B41" s="22" t="s">
        <v>47</v>
      </c>
      <c r="C41" s="23" t="s">
        <v>145</v>
      </c>
      <c r="D41" t="str">
        <f t="shared" si="0"/>
        <v>RA707</v>
      </c>
      <c r="E41" t="str">
        <f t="shared" si="1"/>
        <v>St Michael's Hospital - RA707</v>
      </c>
      <c r="F41" t="str">
        <f t="shared" si="4"/>
        <v>75</v>
      </c>
      <c r="G41" t="str">
        <f t="shared" si="2"/>
        <v>420 - PAEDIATRICS</v>
      </c>
      <c r="H41" t="str">
        <f t="shared" si="3"/>
        <v/>
      </c>
      <c r="I41">
        <f>VLOOKUP($A41,'Unify Report'!$A$1:$V$99,4,FALSE)</f>
        <v>5598.75</v>
      </c>
      <c r="J41">
        <f>VLOOKUP($A41,'Unify Report'!$A$1:$V$99,3,FALSE)</f>
        <v>5132.75</v>
      </c>
      <c r="K41">
        <f>VLOOKUP($A41,'Unify Report'!$A$1:$V$99,8,FALSE)</f>
        <v>1085</v>
      </c>
      <c r="L41">
        <f>VLOOKUP($A41,'Unify Report'!$A$1:$V$99,7,FALSE)</f>
        <v>506.5</v>
      </c>
      <c r="M41">
        <f>VLOOKUP($A41,'Unify Report'!$A$1:$V$99,12,FALSE)</f>
        <v>5461.5</v>
      </c>
      <c r="N41">
        <f>VLOOKUP($A41,'Unify Report'!$A$1:$V$99,11,FALSE)</f>
        <v>4979.75</v>
      </c>
      <c r="O41">
        <f>VLOOKUP($A41,'Unify Report'!$A$1:$V$99,16,FALSE)</f>
        <v>1069.5</v>
      </c>
      <c r="P41">
        <f>VLOOKUP($A41,'Unify Report'!$A$1:$V$99,15,FALSE)</f>
        <v>425.5</v>
      </c>
      <c r="Q41">
        <f>ROUND(VLOOKUP($C41,CHPPD!$D$6:$N$100,7,FALSE),1)</f>
        <v>961</v>
      </c>
      <c r="W41" t="s">
        <v>164</v>
      </c>
      <c r="X41" t="s">
        <v>214</v>
      </c>
      <c r="Y41" t="s">
        <v>215</v>
      </c>
      <c r="Z41" t="s">
        <v>216</v>
      </c>
      <c r="AA41" t="s">
        <v>249</v>
      </c>
    </row>
    <row r="42" spans="1:27">
      <c r="A42" s="22" t="s">
        <v>104</v>
      </c>
      <c r="B42" s="22" t="s">
        <v>42</v>
      </c>
      <c r="C42" s="23" t="s">
        <v>146</v>
      </c>
      <c r="D42" t="str">
        <f t="shared" si="0"/>
        <v>RA707</v>
      </c>
      <c r="E42" t="str">
        <f t="shared" si="1"/>
        <v>St Michael's Hospital - RA707</v>
      </c>
      <c r="F42" t="str">
        <f t="shared" si="4"/>
        <v>76</v>
      </c>
      <c r="G42" t="str">
        <f t="shared" si="2"/>
        <v>501 - OBSTETRICS</v>
      </c>
      <c r="H42" t="str">
        <f t="shared" si="3"/>
        <v/>
      </c>
      <c r="I42">
        <f>VLOOKUP($A42,'Unify Report'!$A$1:$V$99,4,FALSE)</f>
        <v>1096</v>
      </c>
      <c r="J42">
        <f>VLOOKUP($A42,'Unify Report'!$A$1:$V$99,3,FALSE)</f>
        <v>1090</v>
      </c>
      <c r="K42">
        <f>VLOOKUP($A42,'Unify Report'!$A$1:$V$99,8,FALSE)</f>
        <v>387</v>
      </c>
      <c r="L42">
        <f>VLOOKUP($A42,'Unify Report'!$A$1:$V$99,7,FALSE)</f>
        <v>373.5</v>
      </c>
      <c r="M42">
        <f>VLOOKUP($A42,'Unify Report'!$A$1:$V$99,12,FALSE)</f>
        <v>728.5</v>
      </c>
      <c r="N42">
        <f>VLOOKUP($A42,'Unify Report'!$A$1:$V$99,11,FALSE)</f>
        <v>729</v>
      </c>
      <c r="O42">
        <f>VLOOKUP($A42,'Unify Report'!$A$1:$V$99,16,FALSE)</f>
        <v>384</v>
      </c>
      <c r="P42">
        <f>VLOOKUP($A42,'Unify Report'!$A$1:$V$99,15,FALSE)</f>
        <v>468</v>
      </c>
      <c r="Q42">
        <f>ROUND(VLOOKUP($C42,CHPPD!$D$6:$N$100,7,FALSE),1)</f>
        <v>496</v>
      </c>
      <c r="W42" t="s">
        <v>118</v>
      </c>
      <c r="X42" t="s">
        <v>256</v>
      </c>
      <c r="Y42" t="s">
        <v>257</v>
      </c>
      <c r="Z42" t="s">
        <v>258</v>
      </c>
      <c r="AA42" t="s">
        <v>216</v>
      </c>
    </row>
    <row r="43" spans="1:27">
      <c r="A43" s="22" t="s">
        <v>105</v>
      </c>
      <c r="B43" s="22" t="s">
        <v>43</v>
      </c>
      <c r="C43" s="23" t="s">
        <v>147</v>
      </c>
      <c r="D43" t="str">
        <f t="shared" si="0"/>
        <v>RA707</v>
      </c>
      <c r="E43" t="str">
        <f t="shared" si="1"/>
        <v>St Michael's Hospital - RA707</v>
      </c>
      <c r="F43" t="str">
        <f t="shared" si="4"/>
        <v>77</v>
      </c>
      <c r="G43" t="str">
        <f t="shared" si="2"/>
        <v>501 - OBSTETRICS</v>
      </c>
      <c r="H43" t="str">
        <f t="shared" si="3"/>
        <v/>
      </c>
      <c r="I43">
        <f>VLOOKUP($A43,'Unify Report'!$A$1:$V$99,4,FALSE)</f>
        <v>3629.3</v>
      </c>
      <c r="J43">
        <f>VLOOKUP($A43,'Unify Report'!$A$1:$V$99,3,FALSE)</f>
        <v>3601.3</v>
      </c>
      <c r="K43">
        <f>VLOOKUP($A43,'Unify Report'!$A$1:$V$99,8,FALSE)</f>
        <v>570</v>
      </c>
      <c r="L43">
        <f>VLOOKUP($A43,'Unify Report'!$A$1:$V$99,7,FALSE)</f>
        <v>480</v>
      </c>
      <c r="M43">
        <f>VLOOKUP($A43,'Unify Report'!$A$1:$V$99,12,FALSE)</f>
        <v>3348</v>
      </c>
      <c r="N43">
        <f>VLOOKUP($A43,'Unify Report'!$A$1:$V$99,11,FALSE)</f>
        <v>3346.5</v>
      </c>
      <c r="O43">
        <f>VLOOKUP($A43,'Unify Report'!$A$1:$V$99,16,FALSE)</f>
        <v>552</v>
      </c>
      <c r="P43">
        <f>VLOOKUP($A43,'Unify Report'!$A$1:$V$99,15,FALSE)</f>
        <v>456</v>
      </c>
      <c r="Q43">
        <f>ROUND(VLOOKUP($C43,CHPPD!$D$6:$N$100,7,FALSE),1)</f>
        <v>434</v>
      </c>
      <c r="W43" t="s">
        <v>119</v>
      </c>
      <c r="X43" t="s">
        <v>256</v>
      </c>
      <c r="Y43" t="s">
        <v>257</v>
      </c>
      <c r="Z43" t="s">
        <v>258</v>
      </c>
      <c r="AA43" t="s">
        <v>216</v>
      </c>
    </row>
    <row r="44" spans="1:27">
      <c r="A44" s="22" t="s">
        <v>106</v>
      </c>
      <c r="B44" s="22" t="s">
        <v>46</v>
      </c>
      <c r="C44" s="23" t="s">
        <v>148</v>
      </c>
      <c r="D44" t="str">
        <f t="shared" si="0"/>
        <v>RA707</v>
      </c>
      <c r="E44" t="str">
        <f t="shared" si="1"/>
        <v>St Michael's Hospital - RA707</v>
      </c>
      <c r="F44" t="str">
        <f t="shared" si="4"/>
        <v>78</v>
      </c>
      <c r="G44" t="str">
        <f t="shared" si="2"/>
        <v>502 - GYNAECOLOGY</v>
      </c>
      <c r="H44" t="str">
        <f t="shared" si="3"/>
        <v/>
      </c>
      <c r="I44">
        <f>VLOOKUP($A44,'Unify Report'!$A$1:$V$99,4,FALSE)</f>
        <v>1269.75</v>
      </c>
      <c r="J44">
        <f>VLOOKUP($A44,'Unify Report'!$A$1:$V$99,3,FALSE)</f>
        <v>1095</v>
      </c>
      <c r="K44">
        <f>VLOOKUP($A44,'Unify Report'!$A$1:$V$99,8,FALSE)</f>
        <v>933.25</v>
      </c>
      <c r="L44">
        <f>VLOOKUP($A44,'Unify Report'!$A$1:$V$99,7,FALSE)</f>
        <v>909</v>
      </c>
      <c r="M44">
        <f>VLOOKUP($A44,'Unify Report'!$A$1:$V$99,12,FALSE)</f>
        <v>825</v>
      </c>
      <c r="N44">
        <f>VLOOKUP($A44,'Unify Report'!$A$1:$V$99,11,FALSE)</f>
        <v>779.5</v>
      </c>
      <c r="O44">
        <f>VLOOKUP($A44,'Unify Report'!$A$1:$V$99,16,FALSE)</f>
        <v>572</v>
      </c>
      <c r="P44">
        <f>VLOOKUP($A44,'Unify Report'!$A$1:$V$99,15,FALSE)</f>
        <v>528</v>
      </c>
      <c r="Q44">
        <f>ROUND(VLOOKUP($C44,CHPPD!$D$6:$N$100,7,FALSE),1)</f>
        <v>682</v>
      </c>
      <c r="W44" t="s">
        <v>138</v>
      </c>
      <c r="X44" t="s">
        <v>227</v>
      </c>
      <c r="Y44" s="62" t="s">
        <v>228</v>
      </c>
      <c r="Z44" s="62" t="s">
        <v>230</v>
      </c>
      <c r="AA44" s="62" t="s">
        <v>219</v>
      </c>
    </row>
    <row r="45" spans="1:27">
      <c r="W45" s="61" t="s">
        <v>132</v>
      </c>
      <c r="X45" t="s">
        <v>214</v>
      </c>
      <c r="Y45" s="62" t="s">
        <v>215</v>
      </c>
      <c r="Z45" s="63" t="s">
        <v>221</v>
      </c>
      <c r="AA45" s="63"/>
    </row>
    <row r="46" spans="1:27">
      <c r="W46" s="61" t="s">
        <v>133</v>
      </c>
      <c r="X46" t="s">
        <v>214</v>
      </c>
      <c r="Y46" s="62" t="s">
        <v>215</v>
      </c>
      <c r="Z46" s="63" t="s">
        <v>221</v>
      </c>
    </row>
    <row r="47" spans="1:27">
      <c r="W47" t="s">
        <v>108</v>
      </c>
      <c r="X47" t="s">
        <v>214</v>
      </c>
      <c r="Y47" s="62" t="s">
        <v>215</v>
      </c>
      <c r="Z47" t="s">
        <v>216</v>
      </c>
    </row>
    <row r="48" spans="1:27">
      <c r="W48" t="s">
        <v>109</v>
      </c>
      <c r="X48" t="s">
        <v>214</v>
      </c>
      <c r="Y48" s="62" t="s">
        <v>215</v>
      </c>
      <c r="Z48" t="s">
        <v>249</v>
      </c>
    </row>
    <row r="49" spans="23:27">
      <c r="W49" t="s">
        <v>131</v>
      </c>
      <c r="X49" t="s">
        <v>214</v>
      </c>
      <c r="Y49" s="62" t="s">
        <v>215</v>
      </c>
      <c r="Z49" t="s">
        <v>221</v>
      </c>
    </row>
    <row r="50" spans="23:27">
      <c r="W50" t="s">
        <v>259</v>
      </c>
      <c r="X50" t="s">
        <v>214</v>
      </c>
      <c r="Y50" s="62" t="s">
        <v>215</v>
      </c>
      <c r="Z50" t="s">
        <v>216</v>
      </c>
      <c r="AA50" t="s">
        <v>249</v>
      </c>
    </row>
    <row r="51" spans="23:27">
      <c r="W51" t="s">
        <v>260</v>
      </c>
      <c r="X51" t="s">
        <v>214</v>
      </c>
      <c r="Y51" s="62" t="s">
        <v>215</v>
      </c>
      <c r="Z51" t="s">
        <v>216</v>
      </c>
      <c r="AA51" t="s">
        <v>249</v>
      </c>
    </row>
    <row r="52" spans="23:27">
      <c r="W52" t="s">
        <v>117</v>
      </c>
      <c r="X52" t="s">
        <v>214</v>
      </c>
      <c r="Y52" s="62" t="s">
        <v>215</v>
      </c>
      <c r="Z52" t="s">
        <v>216</v>
      </c>
    </row>
    <row r="53" spans="23:27">
      <c r="W53" t="s">
        <v>261</v>
      </c>
      <c r="X53" t="s">
        <v>214</v>
      </c>
      <c r="Y53" s="62" t="s">
        <v>215</v>
      </c>
      <c r="Z53" t="s">
        <v>216</v>
      </c>
    </row>
    <row r="54" spans="23:27">
      <c r="W54" t="s">
        <v>128</v>
      </c>
      <c r="X54" t="s">
        <v>214</v>
      </c>
      <c r="Y54" t="s">
        <v>215</v>
      </c>
      <c r="Z54" t="s">
        <v>216</v>
      </c>
      <c r="AA54" t="s">
        <v>221</v>
      </c>
    </row>
    <row r="55" spans="23:27">
      <c r="W55" t="s">
        <v>111</v>
      </c>
      <c r="X55" t="s">
        <v>214</v>
      </c>
      <c r="Y55" t="s">
        <v>215</v>
      </c>
      <c r="Z55" t="s">
        <v>216</v>
      </c>
    </row>
    <row r="56" spans="23:27">
      <c r="W56" t="s">
        <v>115</v>
      </c>
      <c r="X56" t="s">
        <v>214</v>
      </c>
      <c r="Y56" t="s">
        <v>215</v>
      </c>
      <c r="Z56" t="s">
        <v>249</v>
      </c>
    </row>
    <row r="57" spans="23:27">
      <c r="W57" t="s">
        <v>113</v>
      </c>
      <c r="X57" t="s">
        <v>214</v>
      </c>
      <c r="Y57" t="s">
        <v>215</v>
      </c>
      <c r="Z57" t="s">
        <v>216</v>
      </c>
    </row>
    <row r="58" spans="23:27">
      <c r="W58" s="61" t="s">
        <v>144</v>
      </c>
      <c r="X58" t="s">
        <v>233</v>
      </c>
      <c r="Y58" t="s">
        <v>234</v>
      </c>
      <c r="Z58" t="s">
        <v>235</v>
      </c>
    </row>
    <row r="59" spans="23:27">
      <c r="W59" s="61" t="s">
        <v>147</v>
      </c>
      <c r="X59" t="s">
        <v>233</v>
      </c>
      <c r="Y59" t="s">
        <v>234</v>
      </c>
      <c r="Z59" t="s">
        <v>235</v>
      </c>
    </row>
    <row r="60" spans="23:27">
      <c r="W60" t="s">
        <v>143</v>
      </c>
      <c r="X60" t="s">
        <v>233</v>
      </c>
      <c r="Y60" t="s">
        <v>234</v>
      </c>
      <c r="Z60" t="s">
        <v>235</v>
      </c>
    </row>
    <row r="61" spans="23:27">
      <c r="W61" t="s">
        <v>121</v>
      </c>
      <c r="X61" t="s">
        <v>214</v>
      </c>
      <c r="Y61" s="62" t="s">
        <v>215</v>
      </c>
      <c r="Z61" t="s">
        <v>218</v>
      </c>
      <c r="AA61" t="s">
        <v>226</v>
      </c>
    </row>
  </sheetData>
  <autoFilter ref="I2:P4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showGridLines="0" workbookViewId="0">
      <pane ySplit="2" topLeftCell="A13" activePane="bottomLeft" state="frozenSplit"/>
      <selection pane="bottomLeft" activeCell="S45" sqref="S45"/>
    </sheetView>
  </sheetViews>
  <sheetFormatPr defaultRowHeight="15"/>
  <cols>
    <col min="3" max="3" width="33.140625" customWidth="1"/>
    <col min="8" max="8" width="10.140625" bestFit="1" customWidth="1"/>
    <col min="10" max="10" width="10.140625" bestFit="1" customWidth="1"/>
    <col min="12" max="12" width="10.140625" bestFit="1" customWidth="1"/>
    <col min="14" max="14" width="10.140625" bestFit="1" customWidth="1"/>
  </cols>
  <sheetData>
    <row r="1" spans="1:15" s="5" customFormat="1">
      <c r="D1" s="19"/>
      <c r="E1" s="19"/>
      <c r="F1" s="19"/>
      <c r="G1" s="19"/>
      <c r="H1" s="99" t="s">
        <v>209</v>
      </c>
      <c r="I1" s="100"/>
      <c r="J1" s="99" t="s">
        <v>210</v>
      </c>
      <c r="K1" s="100"/>
      <c r="L1" s="99" t="s">
        <v>211</v>
      </c>
      <c r="M1" s="100"/>
      <c r="N1" s="99" t="s">
        <v>212</v>
      </c>
      <c r="O1" s="100"/>
    </row>
    <row r="2" spans="1:15" s="5" customFormat="1">
      <c r="A2" s="20" t="s">
        <v>213</v>
      </c>
      <c r="B2" s="20" t="s">
        <v>149</v>
      </c>
      <c r="C2" s="20" t="s">
        <v>184</v>
      </c>
      <c r="D2" s="24" t="s">
        <v>185</v>
      </c>
      <c r="E2" s="25" t="s">
        <v>188</v>
      </c>
      <c r="F2" s="25" t="s">
        <v>193</v>
      </c>
      <c r="G2" s="25" t="s">
        <v>200</v>
      </c>
      <c r="H2" s="26" t="s">
        <v>177</v>
      </c>
      <c r="I2" s="27" t="s">
        <v>178</v>
      </c>
      <c r="J2" s="26" t="s">
        <v>177</v>
      </c>
      <c r="K2" s="27" t="s">
        <v>178</v>
      </c>
      <c r="L2" s="26" t="s">
        <v>177</v>
      </c>
      <c r="M2" s="27" t="s">
        <v>178</v>
      </c>
      <c r="N2" s="26" t="s">
        <v>177</v>
      </c>
      <c r="O2" s="28" t="s">
        <v>178</v>
      </c>
    </row>
    <row r="3" spans="1:15">
      <c r="A3" s="22">
        <v>201710</v>
      </c>
      <c r="B3" s="22" t="s">
        <v>65</v>
      </c>
      <c r="C3" s="22" t="s">
        <v>17</v>
      </c>
      <c r="D3" s="22" t="s">
        <v>107</v>
      </c>
      <c r="E3" s="59" t="s">
        <v>189</v>
      </c>
      <c r="F3" s="59" t="s">
        <v>194</v>
      </c>
      <c r="G3" s="59" t="s">
        <v>189</v>
      </c>
      <c r="H3" s="29">
        <f>VLOOKUP($B3,'Unify Report'!$A$2:$V$99,3,FALSE)</f>
        <v>1389</v>
      </c>
      <c r="I3" s="30">
        <f>VLOOKUP($B3,'Unify Report'!$A$2:$V$99,4,FALSE)</f>
        <v>1389.5</v>
      </c>
      <c r="J3" s="29">
        <f>VLOOKUP($B3,'Unify Report'!$A$2:$V$99,7,FALSE)</f>
        <v>1690.75</v>
      </c>
      <c r="K3" s="30">
        <f>VLOOKUP($B3,'Unify Report'!$A$2:$V$99,8,FALSE)</f>
        <v>1097</v>
      </c>
      <c r="L3" s="29">
        <f>VLOOKUP($B3,'Unify Report'!$A$2:$V$99,11,FALSE)</f>
        <v>1024</v>
      </c>
      <c r="M3" s="30">
        <f>VLOOKUP($B3,'Unify Report'!$A$2:$V$99,12,FALSE)</f>
        <v>1023</v>
      </c>
      <c r="N3" s="29">
        <f>VLOOKUP($B3,'Unify Report'!$A$2:$V$99,15,FALSE)</f>
        <v>1364</v>
      </c>
      <c r="O3" s="32">
        <f>VLOOKUP($B3,'Unify Report'!$A$2:$V$99,16,FALSE)</f>
        <v>682</v>
      </c>
    </row>
    <row r="4" spans="1:15">
      <c r="A4" s="22">
        <v>201710</v>
      </c>
      <c r="B4" s="22" t="s">
        <v>66</v>
      </c>
      <c r="C4" s="22" t="s">
        <v>20</v>
      </c>
      <c r="D4" s="22" t="s">
        <v>108</v>
      </c>
      <c r="E4" s="59" t="s">
        <v>189</v>
      </c>
      <c r="F4" s="59" t="s">
        <v>194</v>
      </c>
      <c r="G4" s="59" t="s">
        <v>189</v>
      </c>
      <c r="H4" s="29">
        <f>VLOOKUP($B4,'Unify Report'!$A$2:$V$99,3,FALSE)</f>
        <v>2768.333333333333</v>
      </c>
      <c r="I4" s="30">
        <f>VLOOKUP($B4,'Unify Report'!$A$2:$V$99,4,FALSE)</f>
        <v>2690</v>
      </c>
      <c r="J4" s="29">
        <f>VLOOKUP($B4,'Unify Report'!$A$2:$V$99,7,FALSE)</f>
        <v>1745.25</v>
      </c>
      <c r="K4" s="30">
        <f>VLOOKUP($B4,'Unify Report'!$A$2:$V$99,8,FALSE)</f>
        <v>1858.5</v>
      </c>
      <c r="L4" s="29">
        <f>VLOOKUP($B4,'Unify Report'!$A$2:$V$99,11,FALSE)</f>
        <v>2068</v>
      </c>
      <c r="M4" s="30">
        <f>VLOOKUP($B4,'Unify Report'!$A$2:$V$99,12,FALSE)</f>
        <v>2024</v>
      </c>
      <c r="N4" s="29">
        <f>VLOOKUP($B4,'Unify Report'!$A$2:$V$99,15,FALSE)</f>
        <v>1694</v>
      </c>
      <c r="O4" s="32">
        <f>VLOOKUP($B4,'Unify Report'!$A$2:$V$99,16,FALSE)</f>
        <v>1694</v>
      </c>
    </row>
    <row r="5" spans="1:15">
      <c r="A5" s="22">
        <v>201710</v>
      </c>
      <c r="B5" s="22" t="s">
        <v>67</v>
      </c>
      <c r="C5" s="22" t="s">
        <v>19</v>
      </c>
      <c r="D5" s="22" t="s">
        <v>109</v>
      </c>
      <c r="E5" s="59" t="s">
        <v>189</v>
      </c>
      <c r="F5" s="59" t="s">
        <v>194</v>
      </c>
      <c r="G5" s="59" t="s">
        <v>189</v>
      </c>
      <c r="H5" s="29">
        <f>VLOOKUP($B5,'Unify Report'!$A$2:$V$99,3,FALSE)</f>
        <v>2080</v>
      </c>
      <c r="I5" s="30">
        <f>VLOOKUP($B5,'Unify Report'!$A$2:$V$99,4,FALSE)</f>
        <v>2238</v>
      </c>
      <c r="J5" s="29">
        <f>VLOOKUP($B5,'Unify Report'!$A$2:$V$99,7,FALSE)</f>
        <v>1965</v>
      </c>
      <c r="K5" s="30">
        <f>VLOOKUP($B5,'Unify Report'!$A$2:$V$99,8,FALSE)</f>
        <v>1860</v>
      </c>
      <c r="L5" s="29">
        <f>VLOOKUP($B5,'Unify Report'!$A$2:$V$99,11,FALSE)</f>
        <v>1663.25</v>
      </c>
      <c r="M5" s="30">
        <f>VLOOKUP($B5,'Unify Report'!$A$2:$V$99,12,FALSE)</f>
        <v>1705</v>
      </c>
      <c r="N5" s="29">
        <f>VLOOKUP($B5,'Unify Report'!$A$2:$V$99,15,FALSE)</f>
        <v>1542.75</v>
      </c>
      <c r="O5" s="32">
        <f>VLOOKUP($B5,'Unify Report'!$A$2:$V$99,16,FALSE)</f>
        <v>1364</v>
      </c>
    </row>
    <row r="6" spans="1:15">
      <c r="A6" s="22">
        <v>201710</v>
      </c>
      <c r="B6" s="22" t="s">
        <v>68</v>
      </c>
      <c r="C6" s="22" t="s">
        <v>13</v>
      </c>
      <c r="D6" s="22" t="s">
        <v>110</v>
      </c>
      <c r="E6" s="59" t="s">
        <v>189</v>
      </c>
      <c r="F6" s="59" t="s">
        <v>194</v>
      </c>
      <c r="G6" s="59" t="s">
        <v>189</v>
      </c>
      <c r="H6" s="29">
        <f>VLOOKUP($B6,'Unify Report'!$A$2:$V$99,3,FALSE)</f>
        <v>1787.3333333333333</v>
      </c>
      <c r="I6" s="30">
        <f>VLOOKUP($B6,'Unify Report'!$A$2:$V$99,4,FALSE)</f>
        <v>1868.25</v>
      </c>
      <c r="J6" s="29">
        <f>VLOOKUP($B6,'Unify Report'!$A$2:$V$99,7,FALSE)</f>
        <v>1471.25</v>
      </c>
      <c r="K6" s="30">
        <f>VLOOKUP($B6,'Unify Report'!$A$2:$V$99,8,FALSE)</f>
        <v>1116.0000000000032</v>
      </c>
      <c r="L6" s="29">
        <f>VLOOKUP($B6,'Unify Report'!$A$2:$V$99,11,FALSE)</f>
        <v>1353</v>
      </c>
      <c r="M6" s="30">
        <f>VLOOKUP($B6,'Unify Report'!$A$2:$V$99,12,FALSE)</f>
        <v>1364</v>
      </c>
      <c r="N6" s="29">
        <f>VLOOKUP($B6,'Unify Report'!$A$2:$V$99,15,FALSE)</f>
        <v>1210</v>
      </c>
      <c r="O6" s="32">
        <f>VLOOKUP($B6,'Unify Report'!$A$2:$V$99,16,FALSE)</f>
        <v>1023</v>
      </c>
    </row>
    <row r="7" spans="1:15">
      <c r="A7" s="22">
        <v>201710</v>
      </c>
      <c r="B7" s="22" t="s">
        <v>69</v>
      </c>
      <c r="C7" s="22" t="s">
        <v>18</v>
      </c>
      <c r="D7" s="22" t="s">
        <v>111</v>
      </c>
      <c r="E7" s="59" t="s">
        <v>189</v>
      </c>
      <c r="F7" s="59" t="s">
        <v>194</v>
      </c>
      <c r="G7" s="59" t="s">
        <v>189</v>
      </c>
      <c r="H7" s="29">
        <f>VLOOKUP($B7,'Unify Report'!$A$2:$V$99,3,FALSE)</f>
        <v>1029.75</v>
      </c>
      <c r="I7" s="30">
        <f>VLOOKUP($B7,'Unify Report'!$A$2:$V$99,4,FALSE)</f>
        <v>1098</v>
      </c>
      <c r="J7" s="29">
        <f>VLOOKUP($B7,'Unify Report'!$A$2:$V$99,7,FALSE)</f>
        <v>730.25</v>
      </c>
      <c r="K7" s="30">
        <f>VLOOKUP($B7,'Unify Report'!$A$2:$V$99,8,FALSE)</f>
        <v>701.5</v>
      </c>
      <c r="L7" s="29">
        <f>VLOOKUP($B7,'Unify Report'!$A$2:$V$99,11,FALSE)</f>
        <v>682.5</v>
      </c>
      <c r="M7" s="30">
        <f>VLOOKUP($B7,'Unify Report'!$A$2:$V$99,12,FALSE)</f>
        <v>682</v>
      </c>
      <c r="N7" s="29">
        <f>VLOOKUP($B7,'Unify Report'!$A$2:$V$99,15,FALSE)</f>
        <v>660.25</v>
      </c>
      <c r="O7" s="32">
        <f>VLOOKUP($B7,'Unify Report'!$A$2:$V$99,16,FALSE)</f>
        <v>671.25</v>
      </c>
    </row>
    <row r="8" spans="1:15">
      <c r="A8" s="22">
        <v>201710</v>
      </c>
      <c r="B8" s="22" t="s">
        <v>70</v>
      </c>
      <c r="C8" s="22" t="s">
        <v>15</v>
      </c>
      <c r="D8" s="22" t="s">
        <v>112</v>
      </c>
      <c r="E8" s="59" t="s">
        <v>189</v>
      </c>
      <c r="F8" s="59" t="s">
        <v>194</v>
      </c>
      <c r="G8" s="59" t="s">
        <v>189</v>
      </c>
      <c r="H8" s="29">
        <f>VLOOKUP($B8,'Unify Report'!$A$2:$V$99,3,FALSE)</f>
        <v>1624.25</v>
      </c>
      <c r="I8" s="30">
        <f>VLOOKUP($B8,'Unify Report'!$A$2:$V$99,4,FALSE)</f>
        <v>1627</v>
      </c>
      <c r="J8" s="29">
        <f>VLOOKUP($B8,'Unify Report'!$A$2:$V$99,7,FALSE)</f>
        <v>1431.333333333333</v>
      </c>
      <c r="K8" s="30">
        <f>VLOOKUP($B8,'Unify Report'!$A$2:$V$99,8,FALSE)</f>
        <v>1113.5</v>
      </c>
      <c r="L8" s="29">
        <f>VLOOKUP($B8,'Unify Report'!$A$2:$V$99,11,FALSE)</f>
        <v>1046.75</v>
      </c>
      <c r="M8" s="30">
        <f>VLOOKUP($B8,'Unify Report'!$A$2:$V$99,12,FALSE)</f>
        <v>1023</v>
      </c>
      <c r="N8" s="29">
        <f>VLOOKUP($B8,'Unify Report'!$A$2:$V$99,15,FALSE)</f>
        <v>1353</v>
      </c>
      <c r="O8" s="32">
        <f>VLOOKUP($B8,'Unify Report'!$A$2:$V$99,16,FALSE)</f>
        <v>1023</v>
      </c>
    </row>
    <row r="9" spans="1:15">
      <c r="A9" s="22">
        <v>201710</v>
      </c>
      <c r="B9" s="22" t="s">
        <v>71</v>
      </c>
      <c r="C9" s="22" t="s">
        <v>22</v>
      </c>
      <c r="D9" s="22" t="s">
        <v>113</v>
      </c>
      <c r="E9" s="59" t="s">
        <v>189</v>
      </c>
      <c r="F9" s="59" t="s">
        <v>194</v>
      </c>
      <c r="G9" s="59" t="s">
        <v>189</v>
      </c>
      <c r="H9" s="29">
        <f>VLOOKUP($B9,'Unify Report'!$A$2:$V$99,3,FALSE)</f>
        <v>1119.6333333333332</v>
      </c>
      <c r="I9" s="30">
        <f>VLOOKUP($B9,'Unify Report'!$A$2:$V$99,4,FALSE)</f>
        <v>1119.13333333333</v>
      </c>
      <c r="J9" s="29">
        <f>VLOOKUP($B9,'Unify Report'!$A$2:$V$99,7,FALSE)</f>
        <v>946.25</v>
      </c>
      <c r="K9" s="30">
        <f>VLOOKUP($B9,'Unify Report'!$A$2:$V$99,8,FALSE)</f>
        <v>939.75</v>
      </c>
      <c r="L9" s="29">
        <f>VLOOKUP($B9,'Unify Report'!$A$2:$V$99,11,FALSE)</f>
        <v>1012</v>
      </c>
      <c r="M9" s="30">
        <f>VLOOKUP($B9,'Unify Report'!$A$2:$V$99,12,FALSE)</f>
        <v>1023</v>
      </c>
      <c r="N9" s="29">
        <f>VLOOKUP($B9,'Unify Report'!$A$2:$V$99,15,FALSE)</f>
        <v>429</v>
      </c>
      <c r="O9" s="32">
        <f>VLOOKUP($B9,'Unify Report'!$A$2:$V$99,16,FALSE)</f>
        <v>341</v>
      </c>
    </row>
    <row r="10" spans="1:15">
      <c r="A10" s="22">
        <v>201710</v>
      </c>
      <c r="B10" s="22" t="s">
        <v>72</v>
      </c>
      <c r="C10" s="22" t="s">
        <v>23</v>
      </c>
      <c r="D10" s="22" t="s">
        <v>114</v>
      </c>
      <c r="E10" s="59" t="s">
        <v>189</v>
      </c>
      <c r="F10" s="59" t="s">
        <v>194</v>
      </c>
      <c r="G10" s="59" t="s">
        <v>189</v>
      </c>
      <c r="H10" s="29">
        <f>VLOOKUP($B10,'Unify Report'!$A$2:$V$99,3,FALSE)</f>
        <v>1453.8333333333333</v>
      </c>
      <c r="I10" s="30">
        <f>VLOOKUP($B10,'Unify Report'!$A$2:$V$99,4,FALSE)</f>
        <v>1501.18333333333</v>
      </c>
      <c r="J10" s="29">
        <f>VLOOKUP($B10,'Unify Report'!$A$2:$V$99,7,FALSE)</f>
        <v>788</v>
      </c>
      <c r="K10" s="30">
        <f>VLOOKUP($B10,'Unify Report'!$A$2:$V$99,8,FALSE)</f>
        <v>751</v>
      </c>
      <c r="L10" s="29">
        <f>VLOOKUP($B10,'Unify Report'!$A$2:$V$99,11,FALSE)</f>
        <v>1328.75</v>
      </c>
      <c r="M10" s="30">
        <f>VLOOKUP($B10,'Unify Report'!$A$2:$V$99,12,FALSE)</f>
        <v>1364</v>
      </c>
      <c r="N10" s="29">
        <f>VLOOKUP($B10,'Unify Report'!$A$2:$V$99,15,FALSE)</f>
        <v>770</v>
      </c>
      <c r="O10" s="32">
        <f>VLOOKUP($B10,'Unify Report'!$A$2:$V$99,16,FALSE)</f>
        <v>682</v>
      </c>
    </row>
    <row r="11" spans="1:15">
      <c r="A11" s="22">
        <v>201710</v>
      </c>
      <c r="B11" s="22" t="s">
        <v>73</v>
      </c>
      <c r="C11" s="22" t="s">
        <v>16</v>
      </c>
      <c r="D11" s="22" t="s">
        <v>115</v>
      </c>
      <c r="E11" s="59" t="s">
        <v>189</v>
      </c>
      <c r="F11" s="59" t="s">
        <v>194</v>
      </c>
      <c r="G11" s="59" t="s">
        <v>189</v>
      </c>
      <c r="H11" s="29">
        <f>VLOOKUP($B11,'Unify Report'!$A$2:$V$99,3,FALSE)</f>
        <v>1102.25</v>
      </c>
      <c r="I11" s="30">
        <f>VLOOKUP($B11,'Unify Report'!$A$2:$V$99,4,FALSE)</f>
        <v>1127.25</v>
      </c>
      <c r="J11" s="29">
        <f>VLOOKUP($B11,'Unify Report'!$A$2:$V$99,7,FALSE)</f>
        <v>1259.5</v>
      </c>
      <c r="K11" s="30">
        <f>VLOOKUP($B11,'Unify Report'!$A$2:$V$99,8,FALSE)</f>
        <v>1093.25</v>
      </c>
      <c r="L11" s="29">
        <f>VLOOKUP($B11,'Unify Report'!$A$2:$V$99,11,FALSE)</f>
        <v>682.75</v>
      </c>
      <c r="M11" s="30">
        <f>VLOOKUP($B11,'Unify Report'!$A$2:$V$99,12,FALSE)</f>
        <v>682</v>
      </c>
      <c r="N11" s="29">
        <f>VLOOKUP($B11,'Unify Report'!$A$2:$V$99,15,FALSE)</f>
        <v>1188</v>
      </c>
      <c r="O11" s="32">
        <f>VLOOKUP($B11,'Unify Report'!$A$2:$V$99,16,FALSE)</f>
        <v>682</v>
      </c>
    </row>
    <row r="12" spans="1:15">
      <c r="A12" s="22">
        <v>201710</v>
      </c>
      <c r="B12" s="22" t="s">
        <v>74</v>
      </c>
      <c r="C12" s="22" t="s">
        <v>14</v>
      </c>
      <c r="D12" s="22" t="s">
        <v>116</v>
      </c>
      <c r="E12" s="59" t="s">
        <v>189</v>
      </c>
      <c r="F12" s="59" t="s">
        <v>194</v>
      </c>
      <c r="G12" s="59" t="s">
        <v>189</v>
      </c>
      <c r="H12" s="29">
        <f>VLOOKUP($B12,'Unify Report'!$A$2:$V$99,3,FALSE)</f>
        <v>805.91666666666663</v>
      </c>
      <c r="I12" s="30">
        <f>VLOOKUP($B12,'Unify Report'!$A$2:$V$99,4,FALSE)</f>
        <v>788.25</v>
      </c>
      <c r="J12" s="29">
        <f>VLOOKUP($B12,'Unify Report'!$A$2:$V$99,7,FALSE)</f>
        <v>1419.25</v>
      </c>
      <c r="K12" s="30">
        <f>VLOOKUP($B12,'Unify Report'!$A$2:$V$99,8,FALSE)</f>
        <v>1497.5</v>
      </c>
      <c r="L12" s="29">
        <f>VLOOKUP($B12,'Unify Report'!$A$2:$V$99,11,FALSE)</f>
        <v>681.5</v>
      </c>
      <c r="M12" s="30">
        <f>VLOOKUP($B12,'Unify Report'!$A$2:$V$99,12,FALSE)</f>
        <v>682</v>
      </c>
      <c r="N12" s="29">
        <f>VLOOKUP($B12,'Unify Report'!$A$2:$V$99,15,FALSE)</f>
        <v>649</v>
      </c>
      <c r="O12" s="32">
        <f>VLOOKUP($B12,'Unify Report'!$A$2:$V$99,16,FALSE)</f>
        <v>682</v>
      </c>
    </row>
    <row r="13" spans="1:15">
      <c r="A13" s="22">
        <v>201710</v>
      </c>
      <c r="B13" s="22" t="s">
        <v>75</v>
      </c>
      <c r="C13" s="22" t="s">
        <v>21</v>
      </c>
      <c r="D13" s="22" t="s">
        <v>117</v>
      </c>
      <c r="E13" s="59" t="s">
        <v>189</v>
      </c>
      <c r="F13" s="59" t="s">
        <v>194</v>
      </c>
      <c r="G13" s="59" t="s">
        <v>189</v>
      </c>
      <c r="H13" s="29">
        <f>VLOOKUP($B13,'Unify Report'!$A$2:$V$99,3,FALSE)</f>
        <v>1400.25</v>
      </c>
      <c r="I13" s="30">
        <f>VLOOKUP($B13,'Unify Report'!$A$2:$V$99,4,FALSE)</f>
        <v>1376.25</v>
      </c>
      <c r="J13" s="29">
        <f>VLOOKUP($B13,'Unify Report'!$A$2:$V$99,7,FALSE)</f>
        <v>1767.75</v>
      </c>
      <c r="K13" s="30">
        <f>VLOOKUP($B13,'Unify Report'!$A$2:$V$99,8,FALSE)</f>
        <v>1099.75</v>
      </c>
      <c r="L13" s="29">
        <f>VLOOKUP($B13,'Unify Report'!$A$2:$V$99,11,FALSE)</f>
        <v>1023</v>
      </c>
      <c r="M13" s="30">
        <f>VLOOKUP($B13,'Unify Report'!$A$2:$V$99,12,FALSE)</f>
        <v>1023</v>
      </c>
      <c r="N13" s="29">
        <f>VLOOKUP($B13,'Unify Report'!$A$2:$V$99,15,FALSE)</f>
        <v>1375</v>
      </c>
      <c r="O13" s="32">
        <f>VLOOKUP($B13,'Unify Report'!$A$2:$V$99,16,FALSE)</f>
        <v>682</v>
      </c>
    </row>
    <row r="14" spans="1:15">
      <c r="A14" s="22">
        <v>201710</v>
      </c>
      <c r="B14" s="22" t="s">
        <v>76</v>
      </c>
      <c r="C14" s="22" t="s">
        <v>24</v>
      </c>
      <c r="D14" s="23" t="s">
        <v>118</v>
      </c>
      <c r="E14" s="59" t="s">
        <v>189</v>
      </c>
      <c r="F14" s="60" t="s">
        <v>195</v>
      </c>
      <c r="G14" s="59" t="s">
        <v>189</v>
      </c>
      <c r="H14" s="29">
        <f>VLOOKUP($B14,'Unify Report'!$A$2:$V$99,3,FALSE)</f>
        <v>1478.25</v>
      </c>
      <c r="I14" s="30">
        <f>VLOOKUP($B14,'Unify Report'!$A$2:$V$99,4,FALSE)</f>
        <v>1491.5</v>
      </c>
      <c r="J14" s="29">
        <f>VLOOKUP($B14,'Unify Report'!$A$2:$V$99,7,FALSE)</f>
        <v>1753</v>
      </c>
      <c r="K14" s="30">
        <f>VLOOKUP($B14,'Unify Report'!$A$2:$V$99,8,FALSE)</f>
        <v>1880</v>
      </c>
      <c r="L14" s="29">
        <f>VLOOKUP($B14,'Unify Report'!$A$2:$V$99,11,FALSE)</f>
        <v>879.5</v>
      </c>
      <c r="M14" s="30">
        <f>VLOOKUP($B14,'Unify Report'!$A$2:$V$99,12,FALSE)</f>
        <v>682</v>
      </c>
      <c r="N14" s="29">
        <f>VLOOKUP($B14,'Unify Report'!$A$2:$V$99,15,FALSE)</f>
        <v>1159.25</v>
      </c>
      <c r="O14" s="32">
        <f>VLOOKUP($B14,'Unify Report'!$A$2:$V$99,16,FALSE)</f>
        <v>1023</v>
      </c>
    </row>
    <row r="15" spans="1:15">
      <c r="A15" s="22">
        <v>201710</v>
      </c>
      <c r="B15" s="22" t="s">
        <v>77</v>
      </c>
      <c r="C15" s="22" t="s">
        <v>25</v>
      </c>
      <c r="D15" s="23" t="s">
        <v>119</v>
      </c>
      <c r="E15" s="59" t="s">
        <v>189</v>
      </c>
      <c r="F15" s="60" t="s">
        <v>195</v>
      </c>
      <c r="G15" s="59" t="s">
        <v>189</v>
      </c>
      <c r="H15" s="29">
        <f>VLOOKUP($B15,'Unify Report'!$A$2:$V$99,3,FALSE)</f>
        <v>1391</v>
      </c>
      <c r="I15" s="30">
        <f>VLOOKUP($B15,'Unify Report'!$A$2:$V$99,4,FALSE)</f>
        <v>1549.25</v>
      </c>
      <c r="J15" s="29">
        <f>VLOOKUP($B15,'Unify Report'!$A$2:$V$99,7,FALSE)</f>
        <v>1880.5</v>
      </c>
      <c r="K15" s="30">
        <f>VLOOKUP($B15,'Unify Report'!$A$2:$V$99,8,FALSE)</f>
        <v>2075</v>
      </c>
      <c r="L15" s="29">
        <f>VLOOKUP($B15,'Unify Report'!$A$2:$V$99,11,FALSE)</f>
        <v>835.5</v>
      </c>
      <c r="M15" s="30">
        <f>VLOOKUP($B15,'Unify Report'!$A$2:$V$99,12,FALSE)</f>
        <v>682</v>
      </c>
      <c r="N15" s="29">
        <f>VLOOKUP($B15,'Unify Report'!$A$2:$V$99,15,FALSE)</f>
        <v>1188</v>
      </c>
      <c r="O15" s="32">
        <f>VLOOKUP($B15,'Unify Report'!$A$2:$V$99,16,FALSE)</f>
        <v>1023</v>
      </c>
    </row>
    <row r="16" spans="1:15">
      <c r="A16" s="22">
        <v>201710</v>
      </c>
      <c r="B16" s="22" t="s">
        <v>78</v>
      </c>
      <c r="C16" s="22" t="s">
        <v>27</v>
      </c>
      <c r="D16" s="22" t="s">
        <v>120</v>
      </c>
      <c r="E16" s="59" t="s">
        <v>190</v>
      </c>
      <c r="F16" s="59" t="s">
        <v>194</v>
      </c>
      <c r="G16" s="59" t="s">
        <v>201</v>
      </c>
      <c r="H16" s="29">
        <f>VLOOKUP($B16,'Unify Report'!$A$2:$V$99,3,FALSE)</f>
        <v>1814.75</v>
      </c>
      <c r="I16" s="30">
        <f>VLOOKUP($B16,'Unify Report'!$A$2:$V$99,4,FALSE)</f>
        <v>1856</v>
      </c>
      <c r="J16" s="29">
        <f>VLOOKUP($B16,'Unify Report'!$A$2:$V$99,7,FALSE)</f>
        <v>349</v>
      </c>
      <c r="K16" s="30">
        <f>VLOOKUP($B16,'Unify Report'!$A$2:$V$99,8,FALSE)</f>
        <v>374</v>
      </c>
      <c r="L16" s="29">
        <f>VLOOKUP($B16,'Unify Report'!$A$2:$V$99,11,FALSE)</f>
        <v>1363.25</v>
      </c>
      <c r="M16" s="30">
        <f>VLOOKUP($B16,'Unify Report'!$A$2:$V$99,12,FALSE)</f>
        <v>1364</v>
      </c>
      <c r="N16" s="29">
        <f>VLOOKUP($B16,'Unify Report'!$A$2:$V$99,15,FALSE)</f>
        <v>352</v>
      </c>
      <c r="O16" s="32">
        <f>VLOOKUP($B16,'Unify Report'!$A$2:$V$99,16,FALSE)</f>
        <v>341</v>
      </c>
    </row>
    <row r="17" spans="1:15">
      <c r="A17" s="22">
        <v>201710</v>
      </c>
      <c r="B17" s="22" t="s">
        <v>79</v>
      </c>
      <c r="C17" s="22" t="s">
        <v>30</v>
      </c>
      <c r="D17" s="22" t="s">
        <v>121</v>
      </c>
      <c r="E17" s="59" t="s">
        <v>190</v>
      </c>
      <c r="F17" s="59" t="s">
        <v>194</v>
      </c>
      <c r="G17" s="59" t="s">
        <v>201</v>
      </c>
      <c r="H17" s="29">
        <f>VLOOKUP($B17,'Unify Report'!$A$2:$V$99,3,FALSE)</f>
        <v>6198.6666666666661</v>
      </c>
      <c r="I17" s="30">
        <f>VLOOKUP($B17,'Unify Report'!$A$2:$V$99,4,FALSE)</f>
        <v>6086.7666666666664</v>
      </c>
      <c r="J17" s="29">
        <f>VLOOKUP($B17,'Unify Report'!$A$2:$V$99,7,FALSE)</f>
        <v>511.75</v>
      </c>
      <c r="K17" s="30">
        <f>VLOOKUP($B17,'Unify Report'!$A$2:$V$99,8,FALSE)</f>
        <v>358</v>
      </c>
      <c r="L17" s="29">
        <f>VLOOKUP($B17,'Unify Report'!$A$2:$V$99,11,FALSE)</f>
        <v>6259.75</v>
      </c>
      <c r="M17" s="30">
        <f>VLOOKUP($B17,'Unify Report'!$A$2:$V$99,12,FALSE)</f>
        <v>6077.3</v>
      </c>
      <c r="N17" s="29">
        <f>VLOOKUP($B17,'Unify Report'!$A$2:$V$99,15,FALSE)</f>
        <v>460</v>
      </c>
      <c r="O17" s="32">
        <f>VLOOKUP($B17,'Unify Report'!$A$2:$V$99,16,FALSE)</f>
        <v>356.5</v>
      </c>
    </row>
    <row r="18" spans="1:15">
      <c r="A18" s="22">
        <v>201710</v>
      </c>
      <c r="B18" s="22" t="s">
        <v>80</v>
      </c>
      <c r="C18" s="22" t="s">
        <v>29</v>
      </c>
      <c r="D18" s="22" t="s">
        <v>122</v>
      </c>
      <c r="E18" s="59" t="s">
        <v>190</v>
      </c>
      <c r="F18" s="59" t="s">
        <v>194</v>
      </c>
      <c r="G18" s="59" t="s">
        <v>201</v>
      </c>
      <c r="H18" s="29">
        <f>VLOOKUP($B18,'Unify Report'!$A$2:$V$99,3,FALSE)</f>
        <v>1372.75</v>
      </c>
      <c r="I18" s="30">
        <f>VLOOKUP($B18,'Unify Report'!$A$2:$V$99,4,FALSE)</f>
        <v>1444.75</v>
      </c>
      <c r="J18" s="29">
        <f>VLOOKUP($B18,'Unify Report'!$A$2:$V$99,7,FALSE)</f>
        <v>1139</v>
      </c>
      <c r="K18" s="30">
        <f>VLOOKUP($B18,'Unify Report'!$A$2:$V$99,8,FALSE)</f>
        <v>1120</v>
      </c>
      <c r="L18" s="29">
        <f>VLOOKUP($B18,'Unify Report'!$A$2:$V$99,11,FALSE)</f>
        <v>1034</v>
      </c>
      <c r="M18" s="30">
        <f>VLOOKUP($B18,'Unify Report'!$A$2:$V$99,12,FALSE)</f>
        <v>1023</v>
      </c>
      <c r="N18" s="29">
        <f>VLOOKUP($B18,'Unify Report'!$A$2:$V$99,15,FALSE)</f>
        <v>465</v>
      </c>
      <c r="O18" s="32">
        <f>VLOOKUP($B18,'Unify Report'!$A$2:$V$99,16,FALSE)</f>
        <v>346</v>
      </c>
    </row>
    <row r="19" spans="1:15">
      <c r="A19" s="22">
        <v>201710</v>
      </c>
      <c r="B19" s="22" t="s">
        <v>81</v>
      </c>
      <c r="C19" s="22" t="s">
        <v>28</v>
      </c>
      <c r="D19" s="22" t="s">
        <v>123</v>
      </c>
      <c r="E19" s="59" t="s">
        <v>190</v>
      </c>
      <c r="F19" s="59" t="s">
        <v>194</v>
      </c>
      <c r="G19" s="59" t="s">
        <v>201</v>
      </c>
      <c r="H19" s="29">
        <f>VLOOKUP($B19,'Unify Report'!$A$2:$V$99,3,FALSE)</f>
        <v>1426.75</v>
      </c>
      <c r="I19" s="30">
        <f>VLOOKUP($B19,'Unify Report'!$A$2:$V$99,4,FALSE)</f>
        <v>1461.25</v>
      </c>
      <c r="J19" s="29">
        <f>VLOOKUP($B19,'Unify Report'!$A$2:$V$99,7,FALSE)</f>
        <v>1389</v>
      </c>
      <c r="K19" s="30">
        <f>VLOOKUP($B19,'Unify Report'!$A$2:$V$99,8,FALSE)</f>
        <v>1150.75</v>
      </c>
      <c r="L19" s="29">
        <f>VLOOKUP($B19,'Unify Report'!$A$2:$V$99,11,FALSE)</f>
        <v>1023</v>
      </c>
      <c r="M19" s="30">
        <f>VLOOKUP($B19,'Unify Report'!$A$2:$V$99,12,FALSE)</f>
        <v>1012</v>
      </c>
      <c r="N19" s="29">
        <f>VLOOKUP($B19,'Unify Report'!$A$2:$V$99,15,FALSE)</f>
        <v>654.25</v>
      </c>
      <c r="O19" s="32">
        <f>VLOOKUP($B19,'Unify Report'!$A$2:$V$99,16,FALSE)</f>
        <v>341</v>
      </c>
    </row>
    <row r="20" spans="1:15">
      <c r="A20" s="22">
        <v>201710</v>
      </c>
      <c r="B20" s="22" t="s">
        <v>82</v>
      </c>
      <c r="C20" s="22" t="s">
        <v>26</v>
      </c>
      <c r="D20" s="22" t="s">
        <v>124</v>
      </c>
      <c r="E20" s="59" t="s">
        <v>190</v>
      </c>
      <c r="F20" s="59" t="s">
        <v>194</v>
      </c>
      <c r="G20" s="59" t="s">
        <v>201</v>
      </c>
      <c r="H20" s="29">
        <f>VLOOKUP($B20,'Unify Report'!$A$2:$V$99,3,FALSE)</f>
        <v>1402.1666666666665</v>
      </c>
      <c r="I20" s="30">
        <f>VLOOKUP($B20,'Unify Report'!$A$2:$V$99,4,FALSE)</f>
        <v>1413</v>
      </c>
      <c r="J20" s="29">
        <f>VLOOKUP($B20,'Unify Report'!$A$2:$V$99,7,FALSE)</f>
        <v>1127.5</v>
      </c>
      <c r="K20" s="30">
        <f>VLOOKUP($B20,'Unify Report'!$A$2:$V$99,8,FALSE)</f>
        <v>1134</v>
      </c>
      <c r="L20" s="29">
        <f>VLOOKUP($B20,'Unify Report'!$A$2:$V$99,11,FALSE)</f>
        <v>1030</v>
      </c>
      <c r="M20" s="30">
        <f>VLOOKUP($B20,'Unify Report'!$A$2:$V$99,12,FALSE)</f>
        <v>1023</v>
      </c>
      <c r="N20" s="29">
        <f>VLOOKUP($B20,'Unify Report'!$A$2:$V$99,15,FALSE)</f>
        <v>605.5</v>
      </c>
      <c r="O20" s="32">
        <f>VLOOKUP($B20,'Unify Report'!$A$2:$V$99,16,FALSE)</f>
        <v>572</v>
      </c>
    </row>
    <row r="21" spans="1:15">
      <c r="A21" s="22">
        <v>201710</v>
      </c>
      <c r="B21" s="22" t="s">
        <v>83</v>
      </c>
      <c r="C21" s="22" t="s">
        <v>31</v>
      </c>
      <c r="D21" s="22" t="s">
        <v>125</v>
      </c>
      <c r="E21" s="59" t="s">
        <v>190</v>
      </c>
      <c r="F21" s="59" t="s">
        <v>196</v>
      </c>
      <c r="G21" s="59" t="s">
        <v>202</v>
      </c>
      <c r="H21" s="29">
        <f>VLOOKUP($B21,'Unify Report'!$A$2:$V$99,3,FALSE)</f>
        <v>2335.25</v>
      </c>
      <c r="I21" s="30">
        <f>VLOOKUP($B21,'Unify Report'!$A$2:$V$99,4,FALSE)</f>
        <v>2522.1666666666601</v>
      </c>
      <c r="J21" s="29">
        <f>VLOOKUP($B21,'Unify Report'!$A$2:$V$99,7,FALSE)</f>
        <v>1120.4166666666665</v>
      </c>
      <c r="K21" s="30">
        <f>VLOOKUP($B21,'Unify Report'!$A$2:$V$99,8,FALSE)</f>
        <v>1126.8333333333333</v>
      </c>
      <c r="L21" s="29">
        <f>VLOOKUP($B21,'Unify Report'!$A$2:$V$99,11,FALSE)</f>
        <v>1903</v>
      </c>
      <c r="M21" s="30">
        <f>VLOOKUP($B21,'Unify Report'!$A$2:$V$99,12,FALSE)</f>
        <v>2046</v>
      </c>
      <c r="N21" s="29">
        <f>VLOOKUP($B21,'Unify Report'!$A$2:$V$99,15,FALSE)</f>
        <v>693</v>
      </c>
      <c r="O21" s="32">
        <f>VLOOKUP($B21,'Unify Report'!$A$2:$V$99,16,FALSE)</f>
        <v>682</v>
      </c>
    </row>
    <row r="22" spans="1:15">
      <c r="A22" s="22">
        <v>201710</v>
      </c>
      <c r="B22" s="22" t="s">
        <v>84</v>
      </c>
      <c r="C22" s="22" t="s">
        <v>32</v>
      </c>
      <c r="D22" s="22" t="s">
        <v>126</v>
      </c>
      <c r="E22" s="59" t="s">
        <v>190</v>
      </c>
      <c r="F22" s="59" t="s">
        <v>196</v>
      </c>
      <c r="G22" s="59" t="s">
        <v>202</v>
      </c>
      <c r="H22" s="29">
        <f>VLOOKUP($B22,'Unify Report'!$A$2:$V$99,3,FALSE)</f>
        <v>2397</v>
      </c>
      <c r="I22" s="30">
        <f>VLOOKUP($B22,'Unify Report'!$A$2:$V$99,4,FALSE)</f>
        <v>2632.74999999999</v>
      </c>
      <c r="J22" s="29">
        <f>VLOOKUP($B22,'Unify Report'!$A$2:$V$99,7,FALSE)</f>
        <v>721.41666666666663</v>
      </c>
      <c r="K22" s="30">
        <f>VLOOKUP($B22,'Unify Report'!$A$2:$V$99,8,FALSE)</f>
        <v>753.74999999999932</v>
      </c>
      <c r="L22" s="29">
        <f>VLOOKUP($B22,'Unify Report'!$A$2:$V$99,11,FALSE)</f>
        <v>1562</v>
      </c>
      <c r="M22" s="30">
        <f>VLOOKUP($B22,'Unify Report'!$A$2:$V$99,12,FALSE)</f>
        <v>1694</v>
      </c>
      <c r="N22" s="29">
        <f>VLOOKUP($B22,'Unify Report'!$A$2:$V$99,15,FALSE)</f>
        <v>649</v>
      </c>
      <c r="O22" s="32">
        <f>VLOOKUP($B22,'Unify Report'!$A$2:$V$99,16,FALSE)</f>
        <v>671</v>
      </c>
    </row>
    <row r="23" spans="1:15">
      <c r="A23" s="22">
        <v>201710</v>
      </c>
      <c r="B23" s="22" t="s">
        <v>85</v>
      </c>
      <c r="C23" s="22" t="s">
        <v>54</v>
      </c>
      <c r="D23" s="23" t="s">
        <v>127</v>
      </c>
      <c r="E23" s="60" t="s">
        <v>191</v>
      </c>
      <c r="F23" s="60" t="s">
        <v>197</v>
      </c>
      <c r="G23" s="60" t="s">
        <v>197</v>
      </c>
      <c r="H23" s="29">
        <f>VLOOKUP($B23,'Unify Report'!$A$2:$V$99,3,FALSE)</f>
        <v>1453.75</v>
      </c>
      <c r="I23" s="30">
        <f>VLOOKUP($B23,'Unify Report'!$A$2:$V$99,4,FALSE)</f>
        <v>1556</v>
      </c>
      <c r="J23" s="29">
        <f>VLOOKUP($B23,'Unify Report'!$A$2:$V$99,7,FALSE)</f>
        <v>767</v>
      </c>
      <c r="K23" s="30">
        <f>VLOOKUP($B23,'Unify Report'!$A$2:$V$99,8,FALSE)</f>
        <v>1148.5</v>
      </c>
      <c r="L23" s="29">
        <f>VLOOKUP($B23,'Unify Report'!$A$2:$V$99,11,FALSE)</f>
        <v>704</v>
      </c>
      <c r="M23" s="30">
        <f>VLOOKUP($B23,'Unify Report'!$A$2:$V$99,12,FALSE)</f>
        <v>682</v>
      </c>
      <c r="N23" s="29">
        <f>VLOOKUP($B23,'Unify Report'!$A$2:$V$99,15,FALSE)</f>
        <v>55</v>
      </c>
      <c r="O23" s="32">
        <f>VLOOKUP($B23,'Unify Report'!$A$2:$V$99,16,FALSE)</f>
        <v>0</v>
      </c>
    </row>
    <row r="24" spans="1:15">
      <c r="A24" s="22">
        <v>201710</v>
      </c>
      <c r="B24" s="22" t="s">
        <v>86</v>
      </c>
      <c r="C24" s="22" t="s">
        <v>49</v>
      </c>
      <c r="D24" s="22" t="s">
        <v>128</v>
      </c>
      <c r="E24" s="60" t="s">
        <v>191</v>
      </c>
      <c r="F24" s="59" t="s">
        <v>194</v>
      </c>
      <c r="G24" s="59" t="s">
        <v>203</v>
      </c>
      <c r="H24" s="29">
        <f>VLOOKUP($B24,'Unify Report'!$A$2:$V$99,3,FALSE)</f>
        <v>6623.25</v>
      </c>
      <c r="I24" s="30">
        <f>VLOOKUP($B24,'Unify Report'!$A$2:$V$99,4,FALSE)</f>
        <v>6707.1666666666697</v>
      </c>
      <c r="J24" s="29">
        <f>VLOOKUP($B24,'Unify Report'!$A$2:$V$99,7,FALSE)</f>
        <v>703.75</v>
      </c>
      <c r="K24" s="30">
        <f>VLOOKUP($B24,'Unify Report'!$A$2:$V$99,8,FALSE)</f>
        <v>741.75</v>
      </c>
      <c r="L24" s="29">
        <f>VLOOKUP($B24,'Unify Report'!$A$2:$V$99,11,FALSE)</f>
        <v>6020.5</v>
      </c>
      <c r="M24" s="30">
        <f>VLOOKUP($B24,'Unify Report'!$A$2:$V$99,12,FALSE)</f>
        <v>6128</v>
      </c>
      <c r="N24" s="29">
        <f>VLOOKUP($B24,'Unify Report'!$A$2:$V$99,15,FALSE)</f>
        <v>631</v>
      </c>
      <c r="O24" s="32">
        <f>VLOOKUP($B24,'Unify Report'!$A$2:$V$99,16,FALSE)</f>
        <v>682</v>
      </c>
    </row>
    <row r="25" spans="1:15">
      <c r="A25" s="22">
        <v>201710</v>
      </c>
      <c r="B25" s="22" t="s">
        <v>87</v>
      </c>
      <c r="C25" s="22" t="s">
        <v>53</v>
      </c>
      <c r="D25" s="22" t="s">
        <v>129</v>
      </c>
      <c r="E25" s="60" t="s">
        <v>191</v>
      </c>
      <c r="F25" s="59" t="s">
        <v>194</v>
      </c>
      <c r="G25" s="59" t="s">
        <v>204</v>
      </c>
      <c r="H25" s="29">
        <f>VLOOKUP($B25,'Unify Report'!$A$2:$V$99,3,FALSE)</f>
        <v>1053.75</v>
      </c>
      <c r="I25" s="30">
        <f>VLOOKUP($B25,'Unify Report'!$A$2:$V$99,4,FALSE)</f>
        <v>1076.25</v>
      </c>
      <c r="J25" s="29">
        <f>VLOOKUP($B25,'Unify Report'!$A$2:$V$99,7,FALSE)</f>
        <v>981.75</v>
      </c>
      <c r="K25" s="30">
        <f>VLOOKUP($B25,'Unify Report'!$A$2:$V$99,8,FALSE)</f>
        <v>1236</v>
      </c>
      <c r="L25" s="29">
        <f>VLOOKUP($B25,'Unify Report'!$A$2:$V$99,11,FALSE)</f>
        <v>701.5</v>
      </c>
      <c r="M25" s="30">
        <f>VLOOKUP($B25,'Unify Report'!$A$2:$V$99,12,FALSE)</f>
        <v>713</v>
      </c>
      <c r="N25" s="29">
        <f>VLOOKUP($B25,'Unify Report'!$A$2:$V$99,15,FALSE)</f>
        <v>855.5</v>
      </c>
      <c r="O25" s="32">
        <f>VLOOKUP($B25,'Unify Report'!$A$2:$V$99,16,FALSE)</f>
        <v>1064.75</v>
      </c>
    </row>
    <row r="26" spans="1:15">
      <c r="A26" s="22">
        <v>201710</v>
      </c>
      <c r="B26" s="22" t="s">
        <v>88</v>
      </c>
      <c r="C26" s="22" t="s">
        <v>51</v>
      </c>
      <c r="D26" s="22" t="s">
        <v>130</v>
      </c>
      <c r="E26" s="60" t="s">
        <v>191</v>
      </c>
      <c r="F26" s="59" t="s">
        <v>194</v>
      </c>
      <c r="G26" s="59" t="s">
        <v>204</v>
      </c>
      <c r="H26" s="29">
        <f>VLOOKUP($B26,'Unify Report'!$A$2:$V$99,3,FALSE)</f>
        <v>1407.25</v>
      </c>
      <c r="I26" s="30">
        <f>VLOOKUP($B26,'Unify Report'!$A$2:$V$99,4,FALSE)</f>
        <v>1426.5</v>
      </c>
      <c r="J26" s="29">
        <f>VLOOKUP($B26,'Unify Report'!$A$2:$V$99,7,FALSE)</f>
        <v>1054.9166666666667</v>
      </c>
      <c r="K26" s="30">
        <f>VLOOKUP($B26,'Unify Report'!$A$2:$V$99,8,FALSE)</f>
        <v>1077</v>
      </c>
      <c r="L26" s="29">
        <f>VLOOKUP($B26,'Unify Report'!$A$2:$V$99,11,FALSE)</f>
        <v>977.16666666666663</v>
      </c>
      <c r="M26" s="30">
        <f>VLOOKUP($B26,'Unify Report'!$A$2:$V$99,12,FALSE)</f>
        <v>966</v>
      </c>
      <c r="N26" s="29">
        <f>VLOOKUP($B26,'Unify Report'!$A$2:$V$99,15,FALSE)</f>
        <v>734.5</v>
      </c>
      <c r="O26" s="32">
        <f>VLOOKUP($B26,'Unify Report'!$A$2:$V$99,16,FALSE)</f>
        <v>713</v>
      </c>
    </row>
    <row r="27" spans="1:15">
      <c r="A27" s="22">
        <v>201710</v>
      </c>
      <c r="B27" s="22" t="s">
        <v>89</v>
      </c>
      <c r="C27" s="22" t="s">
        <v>52</v>
      </c>
      <c r="D27" s="22" t="s">
        <v>131</v>
      </c>
      <c r="E27" s="60" t="s">
        <v>191</v>
      </c>
      <c r="F27" s="59" t="s">
        <v>194</v>
      </c>
      <c r="G27" s="59" t="s">
        <v>205</v>
      </c>
      <c r="H27" s="29">
        <f>VLOOKUP($B27,'Unify Report'!$A$2:$V$99,3,FALSE)</f>
        <v>1962.5</v>
      </c>
      <c r="I27" s="30">
        <f>VLOOKUP($B27,'Unify Report'!$A$2:$V$99,4,FALSE)</f>
        <v>2040</v>
      </c>
      <c r="J27" s="29">
        <f>VLOOKUP($B27,'Unify Report'!$A$2:$V$99,7,FALSE)</f>
        <v>1083</v>
      </c>
      <c r="K27" s="30">
        <f>VLOOKUP($B27,'Unify Report'!$A$2:$V$99,8,FALSE)</f>
        <v>1073.5</v>
      </c>
      <c r="L27" s="29">
        <f>VLOOKUP($B27,'Unify Report'!$A$2:$V$99,11,FALSE)</f>
        <v>1413.4166666666665</v>
      </c>
      <c r="M27" s="30">
        <f>VLOOKUP($B27,'Unify Report'!$A$2:$V$99,12,FALSE)</f>
        <v>1426</v>
      </c>
      <c r="N27" s="29">
        <f>VLOOKUP($B27,'Unify Report'!$A$2:$V$99,15,FALSE)</f>
        <v>708.16666666666663</v>
      </c>
      <c r="O27" s="32">
        <f>VLOOKUP($B27,'Unify Report'!$A$2:$V$99,16,FALSE)</f>
        <v>713</v>
      </c>
    </row>
    <row r="28" spans="1:15">
      <c r="A28" s="22">
        <v>201710</v>
      </c>
      <c r="B28" s="22" t="s">
        <v>90</v>
      </c>
      <c r="C28" s="22" t="s">
        <v>48</v>
      </c>
      <c r="D28" s="22" t="s">
        <v>132</v>
      </c>
      <c r="E28" s="60" t="s">
        <v>191</v>
      </c>
      <c r="F28" s="59" t="s">
        <v>194</v>
      </c>
      <c r="G28" s="59" t="s">
        <v>206</v>
      </c>
      <c r="H28" s="29">
        <f>VLOOKUP($B28,'Unify Report'!$A$2:$V$99,3,FALSE)</f>
        <v>2284</v>
      </c>
      <c r="I28" s="30">
        <f>VLOOKUP($B28,'Unify Report'!$A$2:$V$99,4,FALSE)</f>
        <v>2275.75</v>
      </c>
      <c r="J28" s="29">
        <f>VLOOKUP($B28,'Unify Report'!$A$2:$V$99,7,FALSE)</f>
        <v>1311</v>
      </c>
      <c r="K28" s="30">
        <f>VLOOKUP($B28,'Unify Report'!$A$2:$V$99,8,FALSE)</f>
        <v>1270.5</v>
      </c>
      <c r="L28" s="29">
        <f>VLOOKUP($B28,'Unify Report'!$A$2:$V$99,11,FALSE)</f>
        <v>1805.5</v>
      </c>
      <c r="M28" s="30">
        <f>VLOOKUP($B28,'Unify Report'!$A$2:$V$99,12,FALSE)</f>
        <v>1782.5</v>
      </c>
      <c r="N28" s="29">
        <f>VLOOKUP($B28,'Unify Report'!$A$2:$V$99,15,FALSE)</f>
        <v>1506.5</v>
      </c>
      <c r="O28" s="32">
        <f>VLOOKUP($B28,'Unify Report'!$A$2:$V$99,16,FALSE)</f>
        <v>1426</v>
      </c>
    </row>
    <row r="29" spans="1:15">
      <c r="A29" s="22">
        <v>201710</v>
      </c>
      <c r="B29" s="22" t="s">
        <v>91</v>
      </c>
      <c r="C29" s="22" t="s">
        <v>50</v>
      </c>
      <c r="D29" s="22" t="s">
        <v>133</v>
      </c>
      <c r="E29" s="60" t="s">
        <v>191</v>
      </c>
      <c r="F29" s="59" t="s">
        <v>194</v>
      </c>
      <c r="G29" s="59" t="s">
        <v>205</v>
      </c>
      <c r="H29" s="29">
        <f>VLOOKUP($B29,'Unify Report'!$A$2:$V$99,3,FALSE)</f>
        <v>2138</v>
      </c>
      <c r="I29" s="30">
        <f>VLOOKUP($B29,'Unify Report'!$A$2:$V$99,4,FALSE)</f>
        <v>2143</v>
      </c>
      <c r="J29" s="29">
        <f>VLOOKUP($B29,'Unify Report'!$A$2:$V$99,7,FALSE)</f>
        <v>1436</v>
      </c>
      <c r="K29" s="30">
        <f>VLOOKUP($B29,'Unify Report'!$A$2:$V$99,8,FALSE)</f>
        <v>1441</v>
      </c>
      <c r="L29" s="29">
        <f>VLOOKUP($B29,'Unify Report'!$A$2:$V$99,11,FALSE)</f>
        <v>1769.5</v>
      </c>
      <c r="M29" s="30">
        <f>VLOOKUP($B29,'Unify Report'!$A$2:$V$99,12,FALSE)</f>
        <v>1754.5</v>
      </c>
      <c r="N29" s="29">
        <f>VLOOKUP($B29,'Unify Report'!$A$2:$V$99,15,FALSE)</f>
        <v>1435.5</v>
      </c>
      <c r="O29" s="32">
        <f>VLOOKUP($B29,'Unify Report'!$A$2:$V$99,16,FALSE)</f>
        <v>1368</v>
      </c>
    </row>
    <row r="30" spans="1:15">
      <c r="A30" s="22">
        <v>201710</v>
      </c>
      <c r="B30" s="22" t="s">
        <v>92</v>
      </c>
      <c r="C30" s="22" t="s">
        <v>40</v>
      </c>
      <c r="D30" s="22" t="s">
        <v>134</v>
      </c>
      <c r="E30" s="59" t="s">
        <v>192</v>
      </c>
      <c r="F30" s="59" t="s">
        <v>198</v>
      </c>
      <c r="G30" s="59" t="s">
        <v>207</v>
      </c>
      <c r="H30" s="29">
        <f>VLOOKUP($B30,'Unify Report'!$A$2:$V$99,3,FALSE)</f>
        <v>5321.6</v>
      </c>
      <c r="I30" s="30">
        <f>VLOOKUP($B30,'Unify Report'!$A$2:$V$99,4,FALSE)</f>
        <v>6846</v>
      </c>
      <c r="J30" s="29">
        <f>VLOOKUP($B30,'Unify Report'!$A$2:$V$99,7,FALSE)</f>
        <v>66</v>
      </c>
      <c r="K30" s="30">
        <f>VLOOKUP($B30,'Unify Report'!$A$2:$V$99,8,FALSE)</f>
        <v>360</v>
      </c>
      <c r="L30" s="29">
        <f>VLOOKUP($B30,'Unify Report'!$A$2:$V$99,11,FALSE)</f>
        <v>5151</v>
      </c>
      <c r="M30" s="30">
        <f>VLOOKUP($B30,'Unify Report'!$A$2:$V$99,12,FALSE)</f>
        <v>6773.5</v>
      </c>
      <c r="N30" s="29">
        <f>VLOOKUP($B30,'Unify Report'!$A$2:$V$99,15,FALSE)</f>
        <v>161</v>
      </c>
      <c r="O30" s="32">
        <f>VLOOKUP($B30,'Unify Report'!$A$2:$V$99,16,FALSE)</f>
        <v>356.5</v>
      </c>
    </row>
    <row r="31" spans="1:15">
      <c r="A31" s="22">
        <v>201710</v>
      </c>
      <c r="B31" s="22" t="s">
        <v>93</v>
      </c>
      <c r="C31" s="22" t="s">
        <v>35</v>
      </c>
      <c r="D31" s="23" t="s">
        <v>135</v>
      </c>
      <c r="E31" s="59" t="s">
        <v>192</v>
      </c>
      <c r="F31" s="59" t="s">
        <v>198</v>
      </c>
      <c r="G31" s="59" t="s">
        <v>207</v>
      </c>
      <c r="H31" s="29">
        <f>VLOOKUP($B31,'Unify Report'!$A$2:$V$99,3,FALSE)</f>
        <v>3646.9166666666665</v>
      </c>
      <c r="I31" s="30">
        <f>VLOOKUP($B31,'Unify Report'!$A$2:$V$99,4,FALSE)</f>
        <v>4101.25</v>
      </c>
      <c r="J31" s="29">
        <f>VLOOKUP($B31,'Unify Report'!$A$2:$V$99,7,FALSE)</f>
        <v>387</v>
      </c>
      <c r="K31" s="30">
        <f>VLOOKUP($B31,'Unify Report'!$A$2:$V$99,8,FALSE)</f>
        <v>358.5</v>
      </c>
      <c r="L31" s="29">
        <f>VLOOKUP($B31,'Unify Report'!$A$2:$V$99,11,FALSE)</f>
        <v>3386.25</v>
      </c>
      <c r="M31" s="30">
        <f>VLOOKUP($B31,'Unify Report'!$A$2:$V$99,12,FALSE)</f>
        <v>4025</v>
      </c>
      <c r="N31" s="29">
        <f>VLOOKUP($B31,'Unify Report'!$A$2:$V$99,15,FALSE)</f>
        <v>506.16666666666669</v>
      </c>
      <c r="O31" s="32">
        <f>VLOOKUP($B31,'Unify Report'!$A$2:$V$99,16,FALSE)</f>
        <v>356.5</v>
      </c>
    </row>
    <row r="32" spans="1:15">
      <c r="A32" s="22">
        <v>201710</v>
      </c>
      <c r="B32" s="22" t="s">
        <v>94</v>
      </c>
      <c r="C32" s="22" t="s">
        <v>37</v>
      </c>
      <c r="D32" s="23" t="s">
        <v>136</v>
      </c>
      <c r="E32" s="59" t="s">
        <v>192</v>
      </c>
      <c r="F32" s="59" t="s">
        <v>198</v>
      </c>
      <c r="G32" s="59" t="s">
        <v>207</v>
      </c>
      <c r="H32" s="29">
        <f>VLOOKUP($B32,'Unify Report'!$A$2:$V$99,3,FALSE)</f>
        <v>2337</v>
      </c>
      <c r="I32" s="30">
        <f>VLOOKUP($B32,'Unify Report'!$A$2:$V$99,4,FALSE)</f>
        <v>2332.5</v>
      </c>
      <c r="J32" s="29">
        <f>VLOOKUP($B32,'Unify Report'!$A$2:$V$99,7,FALSE)</f>
        <v>376.5</v>
      </c>
      <c r="K32" s="30">
        <f>VLOOKUP($B32,'Unify Report'!$A$2:$V$99,8,FALSE)</f>
        <v>357</v>
      </c>
      <c r="L32" s="29">
        <f>VLOOKUP($B32,'Unify Report'!$A$2:$V$99,11,FALSE)</f>
        <v>1686</v>
      </c>
      <c r="M32" s="30">
        <f>VLOOKUP($B32,'Unify Report'!$A$2:$V$99,12,FALSE)</f>
        <v>1644.5</v>
      </c>
      <c r="N32" s="29">
        <f>VLOOKUP($B32,'Unify Report'!$A$2:$V$99,15,FALSE)</f>
        <v>391</v>
      </c>
      <c r="O32" s="32">
        <f>VLOOKUP($B32,'Unify Report'!$A$2:$V$99,16,FALSE)</f>
        <v>356.5</v>
      </c>
    </row>
    <row r="33" spans="1:15">
      <c r="A33" s="22">
        <v>201710</v>
      </c>
      <c r="B33" s="22" t="s">
        <v>95</v>
      </c>
      <c r="C33" s="22" t="s">
        <v>39</v>
      </c>
      <c r="D33" s="23" t="s">
        <v>137</v>
      </c>
      <c r="E33" s="59" t="s">
        <v>192</v>
      </c>
      <c r="F33" s="59" t="s">
        <v>198</v>
      </c>
      <c r="G33" s="59" t="s">
        <v>207</v>
      </c>
      <c r="H33" s="29">
        <f>VLOOKUP($B33,'Unify Report'!$A$2:$V$99,3,FALSE)</f>
        <v>1926.5</v>
      </c>
      <c r="I33" s="30">
        <f>VLOOKUP($B33,'Unify Report'!$A$2:$V$99,4,FALSE)</f>
        <v>2145.5</v>
      </c>
      <c r="J33" s="29">
        <f>VLOOKUP($B33,'Unify Report'!$A$2:$V$99,7,FALSE)</f>
        <v>437.5</v>
      </c>
      <c r="K33" s="30">
        <f>VLOOKUP($B33,'Unify Report'!$A$2:$V$99,8,FALSE)</f>
        <v>350.5</v>
      </c>
      <c r="L33" s="29">
        <f>VLOOKUP($B33,'Unify Report'!$A$2:$V$99,11,FALSE)</f>
        <v>1554.5</v>
      </c>
      <c r="M33" s="30">
        <f>VLOOKUP($B33,'Unify Report'!$A$2:$V$99,12,FALSE)</f>
        <v>1782.5</v>
      </c>
      <c r="N33" s="29">
        <f>VLOOKUP($B33,'Unify Report'!$A$2:$V$99,15,FALSE)</f>
        <v>310.5</v>
      </c>
      <c r="O33" s="32">
        <f>VLOOKUP($B33,'Unify Report'!$A$2:$V$99,16,FALSE)</f>
        <v>356.5</v>
      </c>
    </row>
    <row r="34" spans="1:15">
      <c r="A34" s="22">
        <v>201710</v>
      </c>
      <c r="B34" s="22" t="s">
        <v>96</v>
      </c>
      <c r="C34" s="22" t="s">
        <v>38</v>
      </c>
      <c r="D34" s="23" t="s">
        <v>138</v>
      </c>
      <c r="E34" s="59" t="s">
        <v>192</v>
      </c>
      <c r="F34" s="59" t="s">
        <v>198</v>
      </c>
      <c r="G34" s="59" t="s">
        <v>207</v>
      </c>
      <c r="H34" s="29">
        <f>VLOOKUP($B34,'Unify Report'!$A$2:$V$99,3,FALSE)</f>
        <v>1648.25</v>
      </c>
      <c r="I34" s="30">
        <f>VLOOKUP($B34,'Unify Report'!$A$2:$V$99,4,FALSE)</f>
        <v>1783</v>
      </c>
      <c r="J34" s="29">
        <f>VLOOKUP($B34,'Unify Report'!$A$2:$V$99,7,FALSE)</f>
        <v>254.5</v>
      </c>
      <c r="K34" s="30">
        <f>VLOOKUP($B34,'Unify Report'!$A$2:$V$99,8,FALSE)</f>
        <v>356.5</v>
      </c>
      <c r="L34" s="29">
        <f>VLOOKUP($B34,'Unify Report'!$A$2:$V$99,11,FALSE)</f>
        <v>1469</v>
      </c>
      <c r="M34" s="30">
        <f>VLOOKUP($B34,'Unify Report'!$A$2:$V$99,12,FALSE)</f>
        <v>1779</v>
      </c>
      <c r="N34" s="29">
        <f>VLOOKUP($B34,'Unify Report'!$A$2:$V$99,15,FALSE)</f>
        <v>313.5</v>
      </c>
      <c r="O34" s="32">
        <f>VLOOKUP($B34,'Unify Report'!$A$2:$V$99,16,FALSE)</f>
        <v>354.51666666666699</v>
      </c>
    </row>
    <row r="35" spans="1:15">
      <c r="A35" s="22">
        <v>201710</v>
      </c>
      <c r="B35" s="22" t="s">
        <v>97</v>
      </c>
      <c r="C35" s="22" t="s">
        <v>36</v>
      </c>
      <c r="D35" s="23" t="s">
        <v>139</v>
      </c>
      <c r="E35" s="59" t="s">
        <v>192</v>
      </c>
      <c r="F35" s="59" t="s">
        <v>198</v>
      </c>
      <c r="G35" s="59" t="s">
        <v>207</v>
      </c>
      <c r="H35" s="29">
        <f>VLOOKUP($B35,'Unify Report'!$A$2:$V$99,3,FALSE)</f>
        <v>2350.25</v>
      </c>
      <c r="I35" s="30">
        <f>VLOOKUP($B35,'Unify Report'!$A$2:$V$99,4,FALSE)</f>
        <v>2501</v>
      </c>
      <c r="J35" s="29">
        <f>VLOOKUP($B35,'Unify Report'!$A$2:$V$99,7,FALSE)</f>
        <v>314.5</v>
      </c>
      <c r="K35" s="30">
        <f>VLOOKUP($B35,'Unify Report'!$A$2:$V$99,8,FALSE)</f>
        <v>362.5</v>
      </c>
      <c r="L35" s="29">
        <f>VLOOKUP($B35,'Unify Report'!$A$2:$V$99,11,FALSE)</f>
        <v>1910</v>
      </c>
      <c r="M35" s="30">
        <f>VLOOKUP($B35,'Unify Report'!$A$2:$V$99,12,FALSE)</f>
        <v>2047</v>
      </c>
      <c r="N35" s="29">
        <f>VLOOKUP($B35,'Unify Report'!$A$2:$V$99,15,FALSE)</f>
        <v>303.5</v>
      </c>
      <c r="O35" s="32">
        <f>VLOOKUP($B35,'Unify Report'!$A$2:$V$99,16,FALSE)</f>
        <v>356.5</v>
      </c>
    </row>
    <row r="36" spans="1:15">
      <c r="A36" s="22">
        <v>201710</v>
      </c>
      <c r="B36" s="22" t="s">
        <v>98</v>
      </c>
      <c r="C36" s="22" t="s">
        <v>33</v>
      </c>
      <c r="D36" s="23" t="s">
        <v>140</v>
      </c>
      <c r="E36" s="59" t="s">
        <v>192</v>
      </c>
      <c r="F36" s="59" t="s">
        <v>198</v>
      </c>
      <c r="G36" s="59" t="s">
        <v>207</v>
      </c>
      <c r="H36" s="29">
        <f>VLOOKUP($B36,'Unify Report'!$A$2:$V$99,3,FALSE)</f>
        <v>1430.5</v>
      </c>
      <c r="I36" s="30">
        <f>VLOOKUP($B36,'Unify Report'!$A$2:$V$99,4,FALSE)</f>
        <v>1419.5</v>
      </c>
      <c r="J36" s="29">
        <f>VLOOKUP($B36,'Unify Report'!$A$2:$V$99,7,FALSE)</f>
        <v>534.5</v>
      </c>
      <c r="K36" s="30">
        <f>VLOOKUP($B36,'Unify Report'!$A$2:$V$99,8,FALSE)</f>
        <v>350</v>
      </c>
      <c r="L36" s="29">
        <f>VLOOKUP($B36,'Unify Report'!$A$2:$V$99,11,FALSE)</f>
        <v>1396.9</v>
      </c>
      <c r="M36" s="30">
        <f>VLOOKUP($B36,'Unify Report'!$A$2:$V$99,12,FALSE)</f>
        <v>1414.5</v>
      </c>
      <c r="N36" s="29">
        <f>VLOOKUP($B36,'Unify Report'!$A$2:$V$99,15,FALSE)</f>
        <v>460</v>
      </c>
      <c r="O36" s="32">
        <f>VLOOKUP($B36,'Unify Report'!$A$2:$V$99,16,FALSE)</f>
        <v>356.5</v>
      </c>
    </row>
    <row r="37" spans="1:15">
      <c r="A37" s="22">
        <v>201710</v>
      </c>
      <c r="B37" s="22" t="s">
        <v>99</v>
      </c>
      <c r="C37" s="22" t="s">
        <v>34</v>
      </c>
      <c r="D37" s="23" t="s">
        <v>141</v>
      </c>
      <c r="E37" s="59" t="s">
        <v>192</v>
      </c>
      <c r="F37" s="59" t="s">
        <v>198</v>
      </c>
      <c r="G37" s="59" t="s">
        <v>207</v>
      </c>
      <c r="H37" s="29">
        <f>VLOOKUP($B37,'Unify Report'!$A$2:$V$99,3,FALSE)</f>
        <v>1053.75</v>
      </c>
      <c r="I37" s="30">
        <f>VLOOKUP($B37,'Unify Report'!$A$2:$V$99,4,FALSE)</f>
        <v>1096</v>
      </c>
      <c r="J37" s="29">
        <f>VLOOKUP($B37,'Unify Report'!$A$2:$V$99,7,FALSE)</f>
        <v>40</v>
      </c>
      <c r="K37" s="30">
        <f>VLOOKUP($B37,'Unify Report'!$A$2:$V$99,8,FALSE)</f>
        <v>0</v>
      </c>
      <c r="L37" s="29">
        <f>VLOOKUP($B37,'Unify Report'!$A$2:$V$99,11,FALSE)</f>
        <v>1039.5</v>
      </c>
      <c r="M37" s="30">
        <f>VLOOKUP($B37,'Unify Report'!$A$2:$V$99,12,FALSE)</f>
        <v>1101.5</v>
      </c>
      <c r="N37" s="29">
        <f>VLOOKUP($B37,'Unify Report'!$A$2:$V$99,15,FALSE)</f>
        <v>0</v>
      </c>
      <c r="O37" s="32">
        <f>VLOOKUP($B37,'Unify Report'!$A$2:$V$99,16,FALSE)</f>
        <v>0</v>
      </c>
    </row>
    <row r="38" spans="1:15">
      <c r="A38" s="22">
        <v>201710</v>
      </c>
      <c r="B38" s="22" t="s">
        <v>100</v>
      </c>
      <c r="C38" s="22" t="s">
        <v>41</v>
      </c>
      <c r="D38" s="23" t="s">
        <v>142</v>
      </c>
      <c r="E38" s="59" t="s">
        <v>192</v>
      </c>
      <c r="F38" s="59" t="s">
        <v>198</v>
      </c>
      <c r="G38" s="59" t="s">
        <v>207</v>
      </c>
      <c r="H38" s="29">
        <f>VLOOKUP($B38,'Unify Report'!$A$2:$V$99,3,FALSE)</f>
        <v>2145.6666666666665</v>
      </c>
      <c r="I38" s="30">
        <f>VLOOKUP($B38,'Unify Report'!$A$2:$V$99,4,FALSE)</f>
        <v>2376</v>
      </c>
      <c r="J38" s="29">
        <f>VLOOKUP($B38,'Unify Report'!$A$2:$V$99,7,FALSE)</f>
        <v>766.5</v>
      </c>
      <c r="K38" s="30">
        <f>VLOOKUP($B38,'Unify Report'!$A$2:$V$99,8,FALSE)</f>
        <v>721</v>
      </c>
      <c r="L38" s="29">
        <f>VLOOKUP($B38,'Unify Report'!$A$2:$V$99,11,FALSE)</f>
        <v>2151</v>
      </c>
      <c r="M38" s="30">
        <f>VLOOKUP($B38,'Unify Report'!$A$2:$V$99,12,FALSE)</f>
        <v>2346</v>
      </c>
      <c r="N38" s="29">
        <f>VLOOKUP($B38,'Unify Report'!$A$2:$V$99,15,FALSE)</f>
        <v>607.5</v>
      </c>
      <c r="O38" s="32">
        <f>VLOOKUP($B38,'Unify Report'!$A$2:$V$99,16,FALSE)</f>
        <v>713</v>
      </c>
    </row>
    <row r="39" spans="1:15">
      <c r="A39" s="22">
        <v>201710</v>
      </c>
      <c r="B39" s="22" t="s">
        <v>101</v>
      </c>
      <c r="C39" s="22" t="s">
        <v>45</v>
      </c>
      <c r="D39" s="22" t="s">
        <v>143</v>
      </c>
      <c r="E39" s="59" t="s">
        <v>192</v>
      </c>
      <c r="F39" s="59" t="s">
        <v>199</v>
      </c>
      <c r="G39" s="59" t="s">
        <v>208</v>
      </c>
      <c r="H39" s="29">
        <f>VLOOKUP($B39,'Unify Report'!$A$2:$V$99,3,FALSE)</f>
        <v>696</v>
      </c>
      <c r="I39" s="30">
        <f>VLOOKUP($B39,'Unify Report'!$A$2:$V$99,4,FALSE)</f>
        <v>774</v>
      </c>
      <c r="J39" s="29">
        <f>VLOOKUP($B39,'Unify Report'!$A$2:$V$99,7,FALSE)</f>
        <v>0</v>
      </c>
      <c r="K39" s="30">
        <f>VLOOKUP($B39,'Unify Report'!$A$2:$V$99,8,FALSE)</f>
        <v>0</v>
      </c>
      <c r="L39" s="29">
        <f>VLOOKUP($B39,'Unify Report'!$A$2:$V$99,11,FALSE)</f>
        <v>720</v>
      </c>
      <c r="M39" s="30">
        <f>VLOOKUP($B39,'Unify Report'!$A$2:$V$99,12,FALSE)</f>
        <v>744</v>
      </c>
      <c r="N39" s="29">
        <f>VLOOKUP($B39,'Unify Report'!$A$2:$V$99,15,FALSE)</f>
        <v>0</v>
      </c>
      <c r="O39" s="32">
        <f>VLOOKUP($B39,'Unify Report'!$A$2:$V$99,16,FALSE)</f>
        <v>0</v>
      </c>
    </row>
    <row r="40" spans="1:15">
      <c r="A40" s="22">
        <v>201710</v>
      </c>
      <c r="B40" s="22" t="s">
        <v>102</v>
      </c>
      <c r="C40" s="22" t="s">
        <v>44</v>
      </c>
      <c r="D40" s="23" t="s">
        <v>144</v>
      </c>
      <c r="E40" s="59" t="s">
        <v>192</v>
      </c>
      <c r="F40" s="59" t="s">
        <v>199</v>
      </c>
      <c r="G40" s="59" t="s">
        <v>208</v>
      </c>
      <c r="H40" s="29">
        <f>VLOOKUP($B40,'Unify Report'!$A$2:$V$99,3,FALSE)</f>
        <v>2409.25</v>
      </c>
      <c r="I40" s="30">
        <f>VLOOKUP($B40,'Unify Report'!$A$2:$V$99,4,FALSE)</f>
        <v>2638</v>
      </c>
      <c r="J40" s="29">
        <f>VLOOKUP($B40,'Unify Report'!$A$2:$V$99,7,FALSE)</f>
        <v>856.5</v>
      </c>
      <c r="K40" s="30">
        <f>VLOOKUP($B40,'Unify Report'!$A$2:$V$99,8,FALSE)</f>
        <v>1204.5</v>
      </c>
      <c r="L40" s="29">
        <f>VLOOKUP($B40,'Unify Report'!$A$2:$V$99,11,FALSE)</f>
        <v>2198</v>
      </c>
      <c r="M40" s="30">
        <f>VLOOKUP($B40,'Unify Report'!$A$2:$V$99,12,FALSE)</f>
        <v>2508</v>
      </c>
      <c r="N40" s="29">
        <f>VLOOKUP($B40,'Unify Report'!$A$2:$V$99,15,FALSE)</f>
        <v>594</v>
      </c>
      <c r="O40" s="32">
        <f>VLOOKUP($B40,'Unify Report'!$A$2:$V$99,16,FALSE)</f>
        <v>744</v>
      </c>
    </row>
    <row r="41" spans="1:15">
      <c r="A41" s="22">
        <v>201710</v>
      </c>
      <c r="B41" s="22" t="s">
        <v>103</v>
      </c>
      <c r="C41" s="22" t="s">
        <v>47</v>
      </c>
      <c r="D41" s="23" t="s">
        <v>145</v>
      </c>
      <c r="E41" s="59" t="s">
        <v>192</v>
      </c>
      <c r="F41" s="59" t="s">
        <v>199</v>
      </c>
      <c r="G41" s="59" t="s">
        <v>208</v>
      </c>
      <c r="H41" s="29">
        <f>VLOOKUP($B41,'Unify Report'!$A$2:$V$99,3,FALSE)</f>
        <v>5132.75</v>
      </c>
      <c r="I41" s="30">
        <f>VLOOKUP($B41,'Unify Report'!$A$2:$V$99,4,FALSE)</f>
        <v>5598.75</v>
      </c>
      <c r="J41" s="29">
        <f>VLOOKUP($B41,'Unify Report'!$A$2:$V$99,7,FALSE)</f>
        <v>506.5</v>
      </c>
      <c r="K41" s="30">
        <f>VLOOKUP($B41,'Unify Report'!$A$2:$V$99,8,FALSE)</f>
        <v>1085</v>
      </c>
      <c r="L41" s="29">
        <f>VLOOKUP($B41,'Unify Report'!$A$2:$V$99,11,FALSE)</f>
        <v>4979.75</v>
      </c>
      <c r="M41" s="30">
        <f>VLOOKUP($B41,'Unify Report'!$A$2:$V$99,12,FALSE)</f>
        <v>5461.5</v>
      </c>
      <c r="N41" s="29">
        <f>VLOOKUP($B41,'Unify Report'!$A$2:$V$99,15,FALSE)</f>
        <v>425.5</v>
      </c>
      <c r="O41" s="32">
        <f>VLOOKUP($B41,'Unify Report'!$A$2:$V$99,16,FALSE)</f>
        <v>1069.5</v>
      </c>
    </row>
    <row r="42" spans="1:15">
      <c r="A42" s="22">
        <v>201710</v>
      </c>
      <c r="B42" s="22" t="s">
        <v>104</v>
      </c>
      <c r="C42" s="22" t="s">
        <v>42</v>
      </c>
      <c r="D42" s="23" t="s">
        <v>146</v>
      </c>
      <c r="E42" s="59" t="s">
        <v>192</v>
      </c>
      <c r="F42" s="59" t="s">
        <v>199</v>
      </c>
      <c r="G42" s="59" t="s">
        <v>208</v>
      </c>
      <c r="H42" s="29">
        <f>VLOOKUP($B42,'Unify Report'!$A$2:$V$99,3,FALSE)</f>
        <v>1090</v>
      </c>
      <c r="I42" s="30">
        <f>VLOOKUP($B42,'Unify Report'!$A$2:$V$99,4,FALSE)</f>
        <v>1096</v>
      </c>
      <c r="J42" s="29">
        <f>VLOOKUP($B42,'Unify Report'!$A$2:$V$99,7,FALSE)</f>
        <v>373.5</v>
      </c>
      <c r="K42" s="30">
        <f>VLOOKUP($B42,'Unify Report'!$A$2:$V$99,8,FALSE)</f>
        <v>387</v>
      </c>
      <c r="L42" s="29">
        <f>VLOOKUP($B42,'Unify Report'!$A$2:$V$99,11,FALSE)</f>
        <v>729</v>
      </c>
      <c r="M42" s="30">
        <f>VLOOKUP($B42,'Unify Report'!$A$2:$V$99,12,FALSE)</f>
        <v>728.5</v>
      </c>
      <c r="N42" s="29">
        <f>VLOOKUP($B42,'Unify Report'!$A$2:$V$99,15,FALSE)</f>
        <v>468</v>
      </c>
      <c r="O42" s="32">
        <f>VLOOKUP($B42,'Unify Report'!$A$2:$V$99,16,FALSE)</f>
        <v>384</v>
      </c>
    </row>
    <row r="43" spans="1:15">
      <c r="A43" s="22">
        <v>201710</v>
      </c>
      <c r="B43" s="22" t="s">
        <v>105</v>
      </c>
      <c r="C43" s="22" t="s">
        <v>43</v>
      </c>
      <c r="D43" s="23" t="s">
        <v>147</v>
      </c>
      <c r="E43" s="59" t="s">
        <v>192</v>
      </c>
      <c r="F43" s="59" t="s">
        <v>199</v>
      </c>
      <c r="G43" s="59" t="s">
        <v>208</v>
      </c>
      <c r="H43" s="29">
        <f>VLOOKUP($B43,'Unify Report'!$A$2:$V$99,3,FALSE)</f>
        <v>3601.3</v>
      </c>
      <c r="I43" s="30">
        <f>VLOOKUP($B43,'Unify Report'!$A$2:$V$99,4,FALSE)</f>
        <v>3629.3</v>
      </c>
      <c r="J43" s="29">
        <f>VLOOKUP($B43,'Unify Report'!$A$2:$V$99,7,FALSE)</f>
        <v>480</v>
      </c>
      <c r="K43" s="30">
        <f>VLOOKUP($B43,'Unify Report'!$A$2:$V$99,8,FALSE)</f>
        <v>570</v>
      </c>
      <c r="L43" s="29">
        <f>VLOOKUP($B43,'Unify Report'!$A$2:$V$99,11,FALSE)</f>
        <v>3346.5</v>
      </c>
      <c r="M43" s="30">
        <f>VLOOKUP($B43,'Unify Report'!$A$2:$V$99,12,FALSE)</f>
        <v>3348</v>
      </c>
      <c r="N43" s="29">
        <f>VLOOKUP($B43,'Unify Report'!$A$2:$V$99,15,FALSE)</f>
        <v>456</v>
      </c>
      <c r="O43" s="32">
        <f>VLOOKUP($B43,'Unify Report'!$A$2:$V$99,16,FALSE)</f>
        <v>552</v>
      </c>
    </row>
    <row r="44" spans="1:15">
      <c r="A44" s="22">
        <v>201710</v>
      </c>
      <c r="B44" s="22" t="s">
        <v>106</v>
      </c>
      <c r="C44" s="22" t="s">
        <v>46</v>
      </c>
      <c r="D44" s="23" t="s">
        <v>148</v>
      </c>
      <c r="E44" s="59" t="s">
        <v>192</v>
      </c>
      <c r="F44" s="59" t="s">
        <v>199</v>
      </c>
      <c r="G44" s="59" t="s">
        <v>208</v>
      </c>
      <c r="H44" s="29">
        <f>VLOOKUP($B44,'Unify Report'!$A$2:$V$99,3,FALSE)</f>
        <v>1095</v>
      </c>
      <c r="I44" s="30">
        <f>VLOOKUP($B44,'Unify Report'!$A$2:$V$99,4,FALSE)</f>
        <v>1269.75</v>
      </c>
      <c r="J44" s="29">
        <f>VLOOKUP($B44,'Unify Report'!$A$2:$V$99,7,FALSE)</f>
        <v>909</v>
      </c>
      <c r="K44" s="30">
        <f>VLOOKUP($B44,'Unify Report'!$A$2:$V$99,8,FALSE)</f>
        <v>933.25</v>
      </c>
      <c r="L44" s="29">
        <f>VLOOKUP($B44,'Unify Report'!$A$2:$V$99,11,FALSE)</f>
        <v>779.5</v>
      </c>
      <c r="M44" s="30">
        <f>VLOOKUP($B44,'Unify Report'!$A$2:$V$99,12,FALSE)</f>
        <v>825</v>
      </c>
      <c r="N44" s="29">
        <f>VLOOKUP($B44,'Unify Report'!$A$2:$V$99,15,FALSE)</f>
        <v>528</v>
      </c>
      <c r="O44" s="32">
        <f>VLOOKUP($B44,'Unify Report'!$A$2:$V$99,16,FALSE)</f>
        <v>572</v>
      </c>
    </row>
    <row r="50" spans="8:15">
      <c r="H50" s="93">
        <f t="shared" ref="H50:O50" si="0">SUM(H3:H44)</f>
        <v>89184.366666666669</v>
      </c>
      <c r="I50" s="93">
        <f t="shared" si="0"/>
        <v>94111.46666666666</v>
      </c>
      <c r="J50" s="93">
        <f t="shared" si="0"/>
        <v>38846.083333333336</v>
      </c>
      <c r="K50" s="93">
        <f t="shared" si="0"/>
        <v>38484.083333333336</v>
      </c>
      <c r="L50" s="93">
        <f t="shared" si="0"/>
        <v>74343.983333333337</v>
      </c>
      <c r="M50" s="93">
        <f t="shared" si="0"/>
        <v>78178.8</v>
      </c>
      <c r="N50" s="93">
        <f t="shared" si="0"/>
        <v>29911.833333333336</v>
      </c>
      <c r="O50" s="93">
        <f t="shared" si="0"/>
        <v>27376.516666666666</v>
      </c>
    </row>
  </sheetData>
  <mergeCells count="4">
    <mergeCell ref="H1:I1"/>
    <mergeCell ref="J1:K1"/>
    <mergeCell ref="L1:M1"/>
    <mergeCell ref="N1:O1"/>
  </mergeCells>
  <printOptions horizontalCentered="1"/>
  <pageMargins left="0.70866141732283472" right="0.70866141732283472" top="0.43307086614173229" bottom="0.47244094488188981" header="0.31496062992125984" footer="0.31496062992125984"/>
  <pageSetup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2"/>
  <sheetViews>
    <sheetView showGridLines="0" tabSelected="1" workbookViewId="0">
      <pane ySplit="5" topLeftCell="A6" activePane="bottomLeft" state="frozenSplit"/>
      <selection pane="bottomLeft" sqref="A1:XFD1048576"/>
    </sheetView>
  </sheetViews>
  <sheetFormatPr defaultRowHeight="15"/>
  <cols>
    <col min="1" max="1" width="3.42578125" customWidth="1"/>
    <col min="3" max="3" width="33.140625" customWidth="1"/>
    <col min="5" max="5" width="2.85546875" customWidth="1"/>
    <col min="6" max="6" width="10.140625" bestFit="1" customWidth="1"/>
    <col min="10" max="10" width="0" hidden="1" customWidth="1"/>
    <col min="12" max="12" width="9.140625" style="18" hidden="1" customWidth="1"/>
    <col min="14" max="14" width="9.140625" hidden="1" customWidth="1"/>
    <col min="15" max="15" width="60.28515625" bestFit="1" customWidth="1"/>
  </cols>
  <sheetData>
    <row r="1" spans="2:15" ht="15.75" thickBot="1"/>
    <row r="2" spans="2:15" ht="15.75" thickBot="1">
      <c r="C2" s="95">
        <v>43009</v>
      </c>
      <c r="F2" s="16" t="s">
        <v>181</v>
      </c>
      <c r="G2" s="17">
        <v>31</v>
      </c>
    </row>
    <row r="4" spans="2:15" s="5" customFormat="1" ht="29.25" customHeight="1">
      <c r="D4" s="19"/>
      <c r="E4"/>
      <c r="F4" s="99" t="s">
        <v>176</v>
      </c>
      <c r="G4" s="101"/>
      <c r="H4" s="100"/>
      <c r="I4" s="102" t="s">
        <v>180</v>
      </c>
      <c r="J4" s="102"/>
      <c r="K4" s="97" t="s">
        <v>182</v>
      </c>
      <c r="L4" s="96"/>
      <c r="M4" s="94" t="s">
        <v>183</v>
      </c>
      <c r="N4" s="98"/>
    </row>
    <row r="5" spans="2:15" s="5" customFormat="1">
      <c r="B5" s="20" t="s">
        <v>149</v>
      </c>
      <c r="C5" s="20" t="s">
        <v>184</v>
      </c>
      <c r="D5" s="21" t="s">
        <v>185</v>
      </c>
      <c r="E5"/>
      <c r="F5" s="26" t="s">
        <v>177</v>
      </c>
      <c r="G5" s="27" t="s">
        <v>178</v>
      </c>
      <c r="H5" s="28" t="s">
        <v>179</v>
      </c>
      <c r="I5" s="26" t="s">
        <v>150</v>
      </c>
      <c r="J5" s="28" t="s">
        <v>151</v>
      </c>
      <c r="K5" s="26" t="s">
        <v>150</v>
      </c>
      <c r="L5" s="52" t="s">
        <v>151</v>
      </c>
      <c r="M5" s="26" t="s">
        <v>150</v>
      </c>
      <c r="N5" s="28" t="s">
        <v>151</v>
      </c>
      <c r="O5" s="20" t="s">
        <v>283</v>
      </c>
    </row>
    <row r="6" spans="2:15">
      <c r="B6" s="22" t="s">
        <v>65</v>
      </c>
      <c r="C6" s="22" t="s">
        <v>17</v>
      </c>
      <c r="D6" s="22" t="s">
        <v>107</v>
      </c>
      <c r="F6" s="29">
        <f>VLOOKUP($B6,'Unify Report'!$A$2:$V$98,19,FALSE)</f>
        <v>5467.75</v>
      </c>
      <c r="G6" s="30">
        <f>VLOOKUP($B6,'Unify Report'!$A$2:$V$98,20,FALSE)</f>
        <v>4191.5</v>
      </c>
      <c r="H6" s="31">
        <f>F6/G6</f>
        <v>1.3044852678038887</v>
      </c>
      <c r="I6" s="54">
        <f>VLOOKUP($D6,Beddays_Data!$C$2:$E$197,2,FALSE)</f>
        <v>762</v>
      </c>
      <c r="J6" s="32">
        <f>VLOOKUP($D6,Beddays_Data!$C$2:$E$197,3,FALSE)</f>
        <v>744</v>
      </c>
      <c r="K6" s="29">
        <f>$I6/$G$2</f>
        <v>24.580645161290324</v>
      </c>
      <c r="L6" s="32">
        <f>$J6/$G$2</f>
        <v>24</v>
      </c>
      <c r="M6" s="33">
        <f>$F6/$I6</f>
        <v>7.1755249343832022</v>
      </c>
      <c r="N6" s="34">
        <f>$F6/$J6</f>
        <v>7.3491263440860219</v>
      </c>
      <c r="O6" s="22"/>
    </row>
    <row r="7" spans="2:15">
      <c r="B7" s="22" t="s">
        <v>66</v>
      </c>
      <c r="C7" s="22" t="s">
        <v>20</v>
      </c>
      <c r="D7" s="22" t="s">
        <v>108</v>
      </c>
      <c r="F7" s="29">
        <f>VLOOKUP($B7,'Unify Report'!$A$2:$V$98,19,FALSE)</f>
        <v>8275.5833333333321</v>
      </c>
      <c r="G7" s="30">
        <f>VLOOKUP($B7,'Unify Report'!$A$2:$V$98,20,FALSE)</f>
        <v>8266.5</v>
      </c>
      <c r="H7" s="31">
        <f t="shared" ref="H7:H52" si="0">F7/G7</f>
        <v>1.0010988124760578</v>
      </c>
      <c r="I7" s="54">
        <f>VLOOKUP($D7,Beddays_Data!$C$2:$E$197,2,FALSE)</f>
        <v>750</v>
      </c>
      <c r="J7" s="32">
        <f>VLOOKUP($D7,Beddays_Data!$C$2:$E$197,3,FALSE)</f>
        <v>868</v>
      </c>
      <c r="K7" s="29">
        <f>$I7/$G$2</f>
        <v>24.193548387096776</v>
      </c>
      <c r="L7" s="32">
        <f>$J7/$G$2</f>
        <v>28</v>
      </c>
      <c r="M7" s="33">
        <f>$F7/$I7</f>
        <v>11.034111111111109</v>
      </c>
      <c r="N7" s="34">
        <f>$F7/$J7</f>
        <v>9.5340821812595991</v>
      </c>
      <c r="O7" s="22"/>
    </row>
    <row r="8" spans="2:15">
      <c r="B8" s="22" t="s">
        <v>67</v>
      </c>
      <c r="C8" s="22" t="s">
        <v>19</v>
      </c>
      <c r="D8" s="22" t="s">
        <v>109</v>
      </c>
      <c r="F8" s="29">
        <f>VLOOKUP($B8,'Unify Report'!$A$2:$V$98,19,FALSE)</f>
        <v>7251</v>
      </c>
      <c r="G8" s="30">
        <f>VLOOKUP($B8,'Unify Report'!$A$2:$V$98,20,FALSE)</f>
        <v>7167</v>
      </c>
      <c r="H8" s="31">
        <f t="shared" si="0"/>
        <v>1.0117203850983676</v>
      </c>
      <c r="I8" s="54">
        <f>VLOOKUP($D8,Beddays_Data!$C$2:$E$197,2,FALSE)</f>
        <v>883</v>
      </c>
      <c r="J8" s="32">
        <f>VLOOKUP($D8,Beddays_Data!$C$2:$E$197,3,FALSE)</f>
        <v>930</v>
      </c>
      <c r="K8" s="29">
        <f>$I8/$G$2</f>
        <v>28.483870967741936</v>
      </c>
      <c r="L8" s="32">
        <f>$J8/$G$2</f>
        <v>30</v>
      </c>
      <c r="M8" s="33">
        <f>$F8/$I8</f>
        <v>8.2117780294450728</v>
      </c>
      <c r="N8" s="34">
        <f>$F8/$J8</f>
        <v>7.7967741935483872</v>
      </c>
      <c r="O8" s="22"/>
    </row>
    <row r="9" spans="2:15">
      <c r="B9" s="22" t="s">
        <v>68</v>
      </c>
      <c r="C9" s="22" t="s">
        <v>13</v>
      </c>
      <c r="D9" s="22" t="s">
        <v>110</v>
      </c>
      <c r="F9" s="29">
        <f>VLOOKUP($B9,'Unify Report'!$A$2:$V$98,19,FALSE)</f>
        <v>5821.583333333333</v>
      </c>
      <c r="G9" s="30">
        <f>VLOOKUP($B9,'Unify Report'!$A$2:$V$98,20,FALSE)</f>
        <v>5371.2500000000036</v>
      </c>
      <c r="H9" s="31">
        <f t="shared" si="0"/>
        <v>1.0838414397641758</v>
      </c>
      <c r="I9" s="54">
        <f>VLOOKUP($D9,Beddays_Data!$C$2:$E$197,2,FALSE)</f>
        <v>672</v>
      </c>
      <c r="J9" s="32">
        <f>VLOOKUP($D9,Beddays_Data!$C$2:$E$197,3,FALSE)</f>
        <v>775</v>
      </c>
      <c r="K9" s="29">
        <f>$I9/$G$2</f>
        <v>21.677419354838708</v>
      </c>
      <c r="L9" s="32">
        <f>$J9/$G$2</f>
        <v>25</v>
      </c>
      <c r="M9" s="33">
        <f>$F9/$I9</f>
        <v>8.6630704365079367</v>
      </c>
      <c r="N9" s="34">
        <f>$F9/$J9</f>
        <v>7.5117204301075269</v>
      </c>
      <c r="O9" s="22"/>
    </row>
    <row r="10" spans="2:15">
      <c r="B10" s="22" t="s">
        <v>69</v>
      </c>
      <c r="C10" s="22" t="s">
        <v>18</v>
      </c>
      <c r="D10" s="22" t="s">
        <v>111</v>
      </c>
      <c r="F10" s="29">
        <f>VLOOKUP($B10,'Unify Report'!$A$2:$V$98,19,FALSE)</f>
        <v>3102.75</v>
      </c>
      <c r="G10" s="30">
        <f>VLOOKUP($B10,'Unify Report'!$A$2:$V$98,20,FALSE)</f>
        <v>3152.75</v>
      </c>
      <c r="H10" s="31">
        <f t="shared" si="0"/>
        <v>0.98414082943462056</v>
      </c>
      <c r="I10" s="54">
        <f>VLOOKUP($D10,Beddays_Data!$C$2:$E$197,2,FALSE)</f>
        <v>508</v>
      </c>
      <c r="J10" s="32">
        <f>VLOOKUP($D10,Beddays_Data!$C$2:$E$197,3,FALSE)</f>
        <v>527</v>
      </c>
      <c r="K10" s="29">
        <f>$I10/$G$2</f>
        <v>16.387096774193548</v>
      </c>
      <c r="L10" s="32">
        <f>$J10/$G$2</f>
        <v>17</v>
      </c>
      <c r="M10" s="33">
        <f>$F10/$I10</f>
        <v>6.1077755905511815</v>
      </c>
      <c r="N10" s="34">
        <f>$F10/$J10</f>
        <v>5.8875711574952563</v>
      </c>
      <c r="O10" s="22"/>
    </row>
    <row r="11" spans="2:15">
      <c r="B11" s="22" t="s">
        <v>70</v>
      </c>
      <c r="C11" s="22" t="s">
        <v>15</v>
      </c>
      <c r="D11" s="22" t="s">
        <v>112</v>
      </c>
      <c r="F11" s="29">
        <f>VLOOKUP($B11,'Unify Report'!$A$2:$V$98,19,FALSE)</f>
        <v>5455.333333333333</v>
      </c>
      <c r="G11" s="30">
        <f>VLOOKUP($B11,'Unify Report'!$A$2:$V$98,20,FALSE)</f>
        <v>4786.5</v>
      </c>
      <c r="H11" s="31">
        <f t="shared" si="0"/>
        <v>1.1397332776210871</v>
      </c>
      <c r="I11" s="54">
        <f>VLOOKUP($D11,Beddays_Data!$C$2:$E$197,2,FALSE)</f>
        <v>754</v>
      </c>
      <c r="J11" s="32">
        <f>VLOOKUP($D11,Beddays_Data!$C$2:$E$197,3,FALSE)</f>
        <v>775</v>
      </c>
      <c r="K11" s="29">
        <f>$I11/$G$2</f>
        <v>24.322580645161292</v>
      </c>
      <c r="L11" s="32">
        <f>$J11/$G$2</f>
        <v>25</v>
      </c>
      <c r="M11" s="33">
        <f>$F11/$I11</f>
        <v>7.2351900972590624</v>
      </c>
      <c r="N11" s="34">
        <f>$F11/$J11</f>
        <v>7.0391397849462365</v>
      </c>
      <c r="O11" s="22"/>
    </row>
    <row r="12" spans="2:15">
      <c r="B12" s="22" t="s">
        <v>71</v>
      </c>
      <c r="C12" s="22" t="s">
        <v>22</v>
      </c>
      <c r="D12" s="22" t="s">
        <v>113</v>
      </c>
      <c r="F12" s="29">
        <f>VLOOKUP($B12,'Unify Report'!$A$2:$V$98,19,FALSE)</f>
        <v>3506.8833333333332</v>
      </c>
      <c r="G12" s="30">
        <f>VLOOKUP($B12,'Unify Report'!$A$2:$V$98,20,FALSE)</f>
        <v>3422.88333333333</v>
      </c>
      <c r="H12" s="31">
        <f t="shared" si="0"/>
        <v>1.0245407137257585</v>
      </c>
      <c r="I12" s="54">
        <f>VLOOKUP($D12,Beddays_Data!$C$2:$E$197,2,FALSE)</f>
        <v>608</v>
      </c>
      <c r="J12" s="32">
        <f>VLOOKUP($D12,Beddays_Data!$C$2:$E$197,3,FALSE)</f>
        <v>620</v>
      </c>
      <c r="K12" s="29">
        <f>$I12/$G$2</f>
        <v>19.612903225806452</v>
      </c>
      <c r="L12" s="32">
        <f>$J12/$G$2</f>
        <v>20</v>
      </c>
      <c r="M12" s="33">
        <f>$F12/$I12</f>
        <v>5.7679002192982454</v>
      </c>
      <c r="N12" s="34">
        <f>$F12/$J12</f>
        <v>5.656263440860215</v>
      </c>
      <c r="O12" s="22"/>
    </row>
    <row r="13" spans="2:15">
      <c r="B13" s="22" t="s">
        <v>72</v>
      </c>
      <c r="C13" s="22" t="s">
        <v>23</v>
      </c>
      <c r="D13" s="22" t="s">
        <v>114</v>
      </c>
      <c r="F13" s="29">
        <f>VLOOKUP($B13,'Unify Report'!$A$2:$V$98,19,FALSE)</f>
        <v>4340.583333333333</v>
      </c>
      <c r="G13" s="30">
        <f>VLOOKUP($B13,'Unify Report'!$A$2:$V$98,20,FALSE)</f>
        <v>4298.1833333333298</v>
      </c>
      <c r="H13" s="31">
        <f t="shared" si="0"/>
        <v>1.0098646327324343</v>
      </c>
      <c r="I13" s="54">
        <f>VLOOKUP($D13,Beddays_Data!$C$2:$E$197,2,FALSE)</f>
        <v>400</v>
      </c>
      <c r="J13" s="32">
        <f>VLOOKUP($D13,Beddays_Data!$C$2:$E$197,3,FALSE)</f>
        <v>434</v>
      </c>
      <c r="K13" s="29">
        <f>$I13/$G$2</f>
        <v>12.903225806451612</v>
      </c>
      <c r="L13" s="32">
        <f>$J13/$G$2</f>
        <v>14</v>
      </c>
      <c r="M13" s="33">
        <f>$F13/$I13</f>
        <v>10.851458333333333</v>
      </c>
      <c r="N13" s="34">
        <f>$F13/$J13</f>
        <v>10.001344086021504</v>
      </c>
      <c r="O13" s="22"/>
    </row>
    <row r="14" spans="2:15">
      <c r="B14" s="22" t="s">
        <v>73</v>
      </c>
      <c r="C14" s="22" t="s">
        <v>16</v>
      </c>
      <c r="D14" s="22" t="s">
        <v>115</v>
      </c>
      <c r="F14" s="29">
        <f>VLOOKUP($B14,'Unify Report'!$A$2:$V$98,19,FALSE)</f>
        <v>4232.5</v>
      </c>
      <c r="G14" s="30">
        <f>VLOOKUP($B14,'Unify Report'!$A$2:$V$98,20,FALSE)</f>
        <v>3584.5</v>
      </c>
      <c r="H14" s="31">
        <f t="shared" si="0"/>
        <v>1.1807783512344818</v>
      </c>
      <c r="I14" s="54">
        <f>VLOOKUP($D14,Beddays_Data!$C$2:$E$197,2,FALSE)</f>
        <v>614</v>
      </c>
      <c r="J14" s="32">
        <f>VLOOKUP($D14,Beddays_Data!$C$2:$E$197,3,FALSE)</f>
        <v>620</v>
      </c>
      <c r="K14" s="29">
        <f>$I14/$G$2</f>
        <v>19.806451612903224</v>
      </c>
      <c r="L14" s="32">
        <f>$J14/$G$2</f>
        <v>20</v>
      </c>
      <c r="M14" s="33">
        <f>$F14/$I14</f>
        <v>6.8933224755700326</v>
      </c>
      <c r="N14" s="34">
        <f>$F14/$J14</f>
        <v>6.8266129032258061</v>
      </c>
      <c r="O14" s="22"/>
    </row>
    <row r="15" spans="2:15">
      <c r="B15" s="22" t="s">
        <v>74</v>
      </c>
      <c r="C15" s="22" t="s">
        <v>14</v>
      </c>
      <c r="D15" s="22" t="s">
        <v>116</v>
      </c>
      <c r="F15" s="29">
        <f>VLOOKUP($B15,'Unify Report'!$A$2:$V$98,19,FALSE)</f>
        <v>3555.6666666666665</v>
      </c>
      <c r="G15" s="30">
        <f>VLOOKUP($B15,'Unify Report'!$A$2:$V$98,20,FALSE)</f>
        <v>3649.75</v>
      </c>
      <c r="H15" s="31">
        <f t="shared" si="0"/>
        <v>0.97422197867433835</v>
      </c>
      <c r="I15" s="54">
        <f>VLOOKUP($D15,Beddays_Data!$C$2:$E$197,2,FALSE)</f>
        <v>553</v>
      </c>
      <c r="J15" s="32">
        <f>VLOOKUP($D15,Beddays_Data!$C$2:$E$197,3,FALSE)</f>
        <v>558</v>
      </c>
      <c r="K15" s="29">
        <f>$I15/$G$2</f>
        <v>17.838709677419356</v>
      </c>
      <c r="L15" s="32">
        <f>$J15/$G$2</f>
        <v>18</v>
      </c>
      <c r="M15" s="33">
        <f>$F15/$I15</f>
        <v>6.4297769740807711</v>
      </c>
      <c r="N15" s="34">
        <f>$F15/$J15</f>
        <v>6.3721624850657106</v>
      </c>
      <c r="O15" s="22"/>
    </row>
    <row r="16" spans="2:15">
      <c r="B16" s="22" t="s">
        <v>75</v>
      </c>
      <c r="C16" s="22" t="s">
        <v>21</v>
      </c>
      <c r="D16" s="22" t="s">
        <v>117</v>
      </c>
      <c r="F16" s="29">
        <f>VLOOKUP($B16,'Unify Report'!$A$2:$V$98,19,FALSE)</f>
        <v>5566</v>
      </c>
      <c r="G16" s="30">
        <f>VLOOKUP($B16,'Unify Report'!$A$2:$V$98,20,FALSE)</f>
        <v>4181</v>
      </c>
      <c r="H16" s="31">
        <f t="shared" si="0"/>
        <v>1.3312604640038268</v>
      </c>
      <c r="I16" s="54">
        <f>VLOOKUP($D16,Beddays_Data!$C$2:$E$197,2,FALSE)</f>
        <v>739</v>
      </c>
      <c r="J16" s="32">
        <f>VLOOKUP($D16,Beddays_Data!$C$2:$E$197,3,FALSE)</f>
        <v>744</v>
      </c>
      <c r="K16" s="29">
        <f>$I16/$G$2</f>
        <v>23.838709677419356</v>
      </c>
      <c r="L16" s="32">
        <f>$J16/$G$2</f>
        <v>24</v>
      </c>
      <c r="M16" s="33">
        <f>$F16/$I16</f>
        <v>7.5317997293640051</v>
      </c>
      <c r="N16" s="34">
        <f>$F16/$J16</f>
        <v>7.481182795698925</v>
      </c>
      <c r="O16" s="22"/>
    </row>
    <row r="17" spans="2:15">
      <c r="B17" s="22" t="s">
        <v>76</v>
      </c>
      <c r="C17" s="22" t="s">
        <v>24</v>
      </c>
      <c r="D17" s="23" t="s">
        <v>118</v>
      </c>
      <c r="F17" s="29">
        <f>VLOOKUP($B17,'Unify Report'!$A$2:$V$98,19,FALSE)</f>
        <v>5270</v>
      </c>
      <c r="G17" s="30">
        <f>VLOOKUP($B17,'Unify Report'!$A$2:$V$98,20,FALSE)</f>
        <v>5076.5</v>
      </c>
      <c r="H17" s="31">
        <f t="shared" si="0"/>
        <v>1.0381168127647</v>
      </c>
      <c r="I17" s="54">
        <f>VLOOKUP($D17,Beddays_Data!$C$2:$E$197,2,FALSE)</f>
        <v>913</v>
      </c>
      <c r="J17" s="32">
        <f>VLOOKUP($D17,Beddays_Data!$C$2:$E$197,3,FALSE)</f>
        <v>930</v>
      </c>
      <c r="K17" s="29">
        <f>$I17/$G$2</f>
        <v>29.451612903225808</v>
      </c>
      <c r="L17" s="32">
        <f>$J17/$G$2</f>
        <v>30</v>
      </c>
      <c r="M17" s="33">
        <f>$F17/$I17</f>
        <v>5.7721796276013144</v>
      </c>
      <c r="N17" s="34">
        <f>$F17/$J17</f>
        <v>5.666666666666667</v>
      </c>
      <c r="O17" s="22"/>
    </row>
    <row r="18" spans="2:15">
      <c r="B18" s="22" t="s">
        <v>77</v>
      </c>
      <c r="C18" s="22" t="s">
        <v>25</v>
      </c>
      <c r="D18" s="23" t="s">
        <v>119</v>
      </c>
      <c r="F18" s="29">
        <f>VLOOKUP($B18,'Unify Report'!$A$2:$V$98,19,FALSE)</f>
        <v>5295</v>
      </c>
      <c r="G18" s="30">
        <f>VLOOKUP($B18,'Unify Report'!$A$2:$V$98,20,FALSE)</f>
        <v>5329.25</v>
      </c>
      <c r="H18" s="31">
        <f t="shared" si="0"/>
        <v>0.99357320448468356</v>
      </c>
      <c r="I18" s="54">
        <f>VLOOKUP($D18,Beddays_Data!$C$2:$E$197,2,FALSE)</f>
        <v>895</v>
      </c>
      <c r="J18" s="32">
        <f>VLOOKUP($D18,Beddays_Data!$C$2:$E$197,3,FALSE)</f>
        <v>930</v>
      </c>
      <c r="K18" s="29">
        <f>$I18/$G$2</f>
        <v>28.870967741935484</v>
      </c>
      <c r="L18" s="32">
        <f>$J18/$G$2</f>
        <v>30</v>
      </c>
      <c r="M18" s="33">
        <f>$F18/$I18</f>
        <v>5.9162011173184359</v>
      </c>
      <c r="N18" s="34">
        <f>$F18/$J18</f>
        <v>5.693548387096774</v>
      </c>
      <c r="O18" s="22"/>
    </row>
    <row r="19" spans="2:15" s="5" customFormat="1">
      <c r="B19" s="35" t="s">
        <v>60</v>
      </c>
      <c r="C19" s="37"/>
      <c r="D19" s="38"/>
      <c r="F19" s="39">
        <f>SUM(F6:F18)</f>
        <v>67140.633333333331</v>
      </c>
      <c r="G19" s="40">
        <f>SUM(G6:G18)</f>
        <v>62477.566666666658</v>
      </c>
      <c r="H19" s="41">
        <f t="shared" si="0"/>
        <v>1.0746358559632339</v>
      </c>
      <c r="I19" s="51">
        <f>SUM(I6:I18)</f>
        <v>9051</v>
      </c>
      <c r="J19" s="40">
        <f>SUM(J6:J18)</f>
        <v>9455</v>
      </c>
      <c r="K19" s="39">
        <f>$I19/$G$2</f>
        <v>291.96774193548384</v>
      </c>
      <c r="L19" s="42">
        <f>$J19/$G$2</f>
        <v>305</v>
      </c>
      <c r="M19" s="43">
        <f>$F19/$I19</f>
        <v>7.4180348396125657</v>
      </c>
      <c r="N19" s="44">
        <f>$F19/$J19</f>
        <v>7.1010717433456723</v>
      </c>
      <c r="O19" s="20"/>
    </row>
    <row r="20" spans="2:15">
      <c r="B20" s="22" t="s">
        <v>78</v>
      </c>
      <c r="C20" s="22" t="s">
        <v>27</v>
      </c>
      <c r="D20" s="22" t="s">
        <v>120</v>
      </c>
      <c r="F20" s="29">
        <f>VLOOKUP($B20,'Unify Report'!$A$2:$V$98,19,FALSE)</f>
        <v>3879</v>
      </c>
      <c r="G20" s="30">
        <f>VLOOKUP($B20,'Unify Report'!$A$2:$V$98,20,FALSE)</f>
        <v>3935</v>
      </c>
      <c r="H20" s="31">
        <f t="shared" si="0"/>
        <v>0.98576874205844978</v>
      </c>
      <c r="I20" s="54">
        <f>VLOOKUP($D20,Beddays_Data!$C$2:$E$197,2,FALSE)</f>
        <v>263</v>
      </c>
      <c r="J20" s="32">
        <f>VLOOKUP($D20,Beddays_Data!$C$2:$E$197,3,FALSE)</f>
        <v>341</v>
      </c>
      <c r="K20" s="29">
        <f>$I20/$G$2</f>
        <v>8.4838709677419359</v>
      </c>
      <c r="L20" s="32">
        <f>$J20/$G$2</f>
        <v>11</v>
      </c>
      <c r="M20" s="33">
        <f>$F20/$I20</f>
        <v>14.749049429657795</v>
      </c>
      <c r="N20" s="34">
        <f>$F20/$J20</f>
        <v>11.375366568914956</v>
      </c>
      <c r="O20" s="22"/>
    </row>
    <row r="21" spans="2:15">
      <c r="B21" s="22" t="s">
        <v>79</v>
      </c>
      <c r="C21" s="22" t="s">
        <v>30</v>
      </c>
      <c r="D21" s="22" t="s">
        <v>121</v>
      </c>
      <c r="F21" s="29">
        <f>VLOOKUP($B21,'Unify Report'!$A$2:$V$98,19,FALSE)</f>
        <v>13430.166666666666</v>
      </c>
      <c r="G21" s="30">
        <f>VLOOKUP($B21,'Unify Report'!$A$2:$V$98,20,FALSE)</f>
        <v>12878.566666666666</v>
      </c>
      <c r="H21" s="31">
        <f t="shared" si="0"/>
        <v>1.0428308533299513</v>
      </c>
      <c r="I21" s="54">
        <f>VLOOKUP($D21,Beddays_Data!$C$2:$E$197,2,FALSE)</f>
        <v>704</v>
      </c>
      <c r="J21" s="32">
        <f>VLOOKUP($D21,Beddays_Data!$C$2:$E$197,3,FALSE)</f>
        <v>744</v>
      </c>
      <c r="K21" s="29">
        <f>$I21/$G$2</f>
        <v>22.70967741935484</v>
      </c>
      <c r="L21" s="32">
        <f>$J21/$G$2</f>
        <v>24</v>
      </c>
      <c r="M21" s="33">
        <f>$F21/$I21</f>
        <v>19.076941287878785</v>
      </c>
      <c r="N21" s="34">
        <f>$F21/$J21</f>
        <v>18.051299283154123</v>
      </c>
      <c r="O21" s="22"/>
    </row>
    <row r="22" spans="2:15">
      <c r="B22" s="22" t="s">
        <v>80</v>
      </c>
      <c r="C22" s="22" t="s">
        <v>29</v>
      </c>
      <c r="D22" s="22" t="s">
        <v>122</v>
      </c>
      <c r="F22" s="29">
        <f>VLOOKUP($B22,'Unify Report'!$A$2:$V$98,19,FALSE)</f>
        <v>4010.75</v>
      </c>
      <c r="G22" s="30">
        <f>VLOOKUP($B22,'Unify Report'!$A$2:$V$98,20,FALSE)</f>
        <v>3933.75</v>
      </c>
      <c r="H22" s="31">
        <f t="shared" si="0"/>
        <v>1.0195741976485542</v>
      </c>
      <c r="I22" s="54">
        <f>VLOOKUP($D22,Beddays_Data!$C$2:$E$197,2,FALSE)</f>
        <v>729</v>
      </c>
      <c r="J22" s="32">
        <f>VLOOKUP($D22,Beddays_Data!$C$2:$E$197,3,FALSE)</f>
        <v>744</v>
      </c>
      <c r="K22" s="29">
        <f>$I22/$G$2</f>
        <v>23.516129032258064</v>
      </c>
      <c r="L22" s="32">
        <f>$J22/$G$2</f>
        <v>24</v>
      </c>
      <c r="M22" s="33">
        <f>$F22/$I22</f>
        <v>5.5017146776406038</v>
      </c>
      <c r="N22" s="34">
        <f>$F22/$J22</f>
        <v>5.390793010752688</v>
      </c>
      <c r="O22" s="22"/>
    </row>
    <row r="23" spans="2:15">
      <c r="B23" s="22" t="s">
        <v>81</v>
      </c>
      <c r="C23" s="22" t="s">
        <v>28</v>
      </c>
      <c r="D23" s="22" t="s">
        <v>123</v>
      </c>
      <c r="F23" s="29">
        <f>VLOOKUP($B23,'Unify Report'!$A$2:$V$98,19,FALSE)</f>
        <v>4493</v>
      </c>
      <c r="G23" s="30">
        <f>VLOOKUP($B23,'Unify Report'!$A$2:$V$98,20,FALSE)</f>
        <v>3965</v>
      </c>
      <c r="H23" s="31">
        <f t="shared" si="0"/>
        <v>1.1331651954602775</v>
      </c>
      <c r="I23" s="54">
        <f>VLOOKUP($D23,Beddays_Data!$C$2:$E$197,2,FALSE)</f>
        <v>735</v>
      </c>
      <c r="J23" s="32">
        <f>VLOOKUP($D23,Beddays_Data!$C$2:$E$197,3,FALSE)</f>
        <v>744</v>
      </c>
      <c r="K23" s="29">
        <f>$I23/$G$2</f>
        <v>23.70967741935484</v>
      </c>
      <c r="L23" s="32">
        <f>$J23/$G$2</f>
        <v>24</v>
      </c>
      <c r="M23" s="33">
        <f>$F23/$I23</f>
        <v>6.1129251700680269</v>
      </c>
      <c r="N23" s="34">
        <f>$F23/$J23</f>
        <v>6.038978494623656</v>
      </c>
      <c r="O23" s="22"/>
    </row>
    <row r="24" spans="2:15">
      <c r="B24" s="22" t="s">
        <v>82</v>
      </c>
      <c r="C24" s="22" t="s">
        <v>26</v>
      </c>
      <c r="D24" s="22" t="s">
        <v>124</v>
      </c>
      <c r="F24" s="29">
        <f>VLOOKUP($B24,'Unify Report'!$A$2:$V$98,19,FALSE)</f>
        <v>4165.1666666666661</v>
      </c>
      <c r="G24" s="30">
        <f>VLOOKUP($B24,'Unify Report'!$A$2:$V$98,20,FALSE)</f>
        <v>4142</v>
      </c>
      <c r="H24" s="31">
        <f t="shared" si="0"/>
        <v>1.0055931112184129</v>
      </c>
      <c r="I24" s="54">
        <f>VLOOKUP($D24,Beddays_Data!$C$2:$E$197,2,FALSE)</f>
        <v>731</v>
      </c>
      <c r="J24" s="32">
        <f>VLOOKUP($D24,Beddays_Data!$C$2:$E$197,3,FALSE)</f>
        <v>744</v>
      </c>
      <c r="K24" s="29">
        <f>$I24/$G$2</f>
        <v>23.580645161290324</v>
      </c>
      <c r="L24" s="32">
        <f>$J24/$G$2</f>
        <v>24</v>
      </c>
      <c r="M24" s="33">
        <f>$F24/$I24</f>
        <v>5.6979024167806651</v>
      </c>
      <c r="N24" s="34">
        <f>$F24/$J24</f>
        <v>5.5983422939068088</v>
      </c>
      <c r="O24" s="22"/>
    </row>
    <row r="25" spans="2:15">
      <c r="B25" s="22" t="s">
        <v>83</v>
      </c>
      <c r="C25" s="22" t="s">
        <v>31</v>
      </c>
      <c r="D25" s="22" t="s">
        <v>125</v>
      </c>
      <c r="F25" s="29">
        <f>VLOOKUP($B25,'Unify Report'!$A$2:$V$98,19,FALSE)</f>
        <v>6051.6666666666661</v>
      </c>
      <c r="G25" s="30">
        <f>VLOOKUP($B25,'Unify Report'!$A$2:$V$98,20,FALSE)</f>
        <v>6376.9999999999927</v>
      </c>
      <c r="H25" s="31">
        <f t="shared" si="0"/>
        <v>0.94898332549265685</v>
      </c>
      <c r="I25" s="54">
        <f>VLOOKUP($D25,Beddays_Data!$C$2:$E$197,2,FALSE)</f>
        <v>801</v>
      </c>
      <c r="J25" s="32">
        <f>VLOOKUP($D25,Beddays_Data!$C$2:$E$197,3,FALSE)</f>
        <v>992</v>
      </c>
      <c r="K25" s="29">
        <f>$I25/$G$2</f>
        <v>25.838709677419356</v>
      </c>
      <c r="L25" s="32">
        <f>$J25/$G$2</f>
        <v>32</v>
      </c>
      <c r="M25" s="33">
        <f>$F25/$I25</f>
        <v>7.5551394090719928</v>
      </c>
      <c r="N25" s="34">
        <f>$F25/$J25</f>
        <v>6.1004704301075261</v>
      </c>
      <c r="O25" s="22"/>
    </row>
    <row r="26" spans="2:15">
      <c r="B26" s="22" t="s">
        <v>84</v>
      </c>
      <c r="C26" s="22" t="s">
        <v>32</v>
      </c>
      <c r="D26" s="22" t="s">
        <v>126</v>
      </c>
      <c r="F26" s="29">
        <f>VLOOKUP($B26,'Unify Report'!$A$2:$V$98,19,FALSE)</f>
        <v>5329.4166666666661</v>
      </c>
      <c r="G26" s="30">
        <f>VLOOKUP($B26,'Unify Report'!$A$2:$V$98,20,FALSE)</f>
        <v>5751.4999999999891</v>
      </c>
      <c r="H26" s="31">
        <f t="shared" si="0"/>
        <v>0.92661334724274991</v>
      </c>
      <c r="I26" s="54">
        <f>VLOOKUP($D26,Beddays_Data!$C$2:$E$197,2,FALSE)</f>
        <v>662</v>
      </c>
      <c r="J26" s="32">
        <f>VLOOKUP($D26,Beddays_Data!$C$2:$E$197,3,FALSE)</f>
        <v>713</v>
      </c>
      <c r="K26" s="29">
        <f>$I26/$G$2</f>
        <v>21.35483870967742</v>
      </c>
      <c r="L26" s="32">
        <f>$J26/$G$2</f>
        <v>23</v>
      </c>
      <c r="M26" s="33">
        <f>$F26/$I26</f>
        <v>8.0504783484390732</v>
      </c>
      <c r="N26" s="34">
        <f>$F26/$J26</f>
        <v>7.4746376811594191</v>
      </c>
      <c r="O26" s="22"/>
    </row>
    <row r="27" spans="2:15" s="5" customFormat="1">
      <c r="B27" s="35" t="s">
        <v>61</v>
      </c>
      <c r="C27" s="37"/>
      <c r="D27" s="38"/>
      <c r="F27" s="39">
        <f>SUM(F20:F26)</f>
        <v>41359.166666666657</v>
      </c>
      <c r="G27" s="40">
        <f>SUM(G20:G26)</f>
        <v>40982.816666666651</v>
      </c>
      <c r="H27" s="41">
        <f t="shared" si="0"/>
        <v>1.0091831169892749</v>
      </c>
      <c r="I27" s="51">
        <f>SUM(I20:I26)</f>
        <v>4625</v>
      </c>
      <c r="J27" s="42">
        <f>SUM(J20:J26)</f>
        <v>5022</v>
      </c>
      <c r="K27" s="39">
        <f>$I27/$G$2</f>
        <v>149.19354838709677</v>
      </c>
      <c r="L27" s="42">
        <f>$J27/$G$2</f>
        <v>162</v>
      </c>
      <c r="M27" s="43">
        <f>$F27/$I27</f>
        <v>8.9425225225225198</v>
      </c>
      <c r="N27" s="44">
        <f>$F27/$J27</f>
        <v>8.2355967078189281</v>
      </c>
      <c r="O27" s="20"/>
    </row>
    <row r="28" spans="2:15">
      <c r="B28" s="22" t="s">
        <v>85</v>
      </c>
      <c r="C28" s="22" t="s">
        <v>54</v>
      </c>
      <c r="D28" s="23" t="s">
        <v>127</v>
      </c>
      <c r="F28" s="29">
        <f>VLOOKUP($B28,'Unify Report'!$A$2:$V$98,19,FALSE)</f>
        <v>2979.75</v>
      </c>
      <c r="G28" s="30">
        <f>VLOOKUP($B28,'Unify Report'!$A$2:$V$98,20,FALSE)</f>
        <v>3386.5</v>
      </c>
      <c r="H28" s="31">
        <f t="shared" si="0"/>
        <v>0.87989074265465816</v>
      </c>
      <c r="I28" s="54">
        <f>VLOOKUP($D28,Beddays_Data!$C$2:$E$197,2,FALSE)</f>
        <v>256</v>
      </c>
      <c r="J28" s="32">
        <f>VLOOKUP($D28,Beddays_Data!$C$2:$E$197,3,FALSE)</f>
        <v>341</v>
      </c>
      <c r="K28" s="29">
        <f>$I28/$G$2</f>
        <v>8.258064516129032</v>
      </c>
      <c r="L28" s="32">
        <f>$J28/$G$2</f>
        <v>11</v>
      </c>
      <c r="M28" s="33">
        <f>$F28/$I28</f>
        <v>11.6396484375</v>
      </c>
      <c r="N28" s="34">
        <f>$F28/$J28</f>
        <v>8.7382697947214076</v>
      </c>
      <c r="O28" s="22"/>
    </row>
    <row r="29" spans="2:15">
      <c r="B29" s="22" t="s">
        <v>86</v>
      </c>
      <c r="C29" s="22" t="s">
        <v>49</v>
      </c>
      <c r="D29" s="22" t="s">
        <v>128</v>
      </c>
      <c r="F29" s="29">
        <f>VLOOKUP($B29,'Unify Report'!$A$2:$V$98,19,FALSE)</f>
        <v>13978.5</v>
      </c>
      <c r="G29" s="30">
        <f>VLOOKUP($B29,'Unify Report'!$A$2:$V$98,20,FALSE)</f>
        <v>14258.91666666667</v>
      </c>
      <c r="H29" s="31">
        <f t="shared" si="0"/>
        <v>0.98033394308824284</v>
      </c>
      <c r="I29" s="54">
        <f>VLOOKUP($D29,Beddays_Data!$C$2:$E$197,2,FALSE)</f>
        <v>504</v>
      </c>
      <c r="J29" s="32">
        <f>VLOOKUP($D29,Beddays_Data!$C$2:$E$197,3,FALSE)</f>
        <v>620</v>
      </c>
      <c r="K29" s="29">
        <f>$I29/$G$2</f>
        <v>16.258064516129032</v>
      </c>
      <c r="L29" s="32">
        <f>$J29/$G$2</f>
        <v>20</v>
      </c>
      <c r="M29" s="33">
        <f>$F29/$I29</f>
        <v>27.735119047619047</v>
      </c>
      <c r="N29" s="34">
        <f>$F29/$J29</f>
        <v>22.545967741935485</v>
      </c>
      <c r="O29" s="22"/>
    </row>
    <row r="30" spans="2:15">
      <c r="B30" s="22" t="s">
        <v>87</v>
      </c>
      <c r="C30" s="22" t="s">
        <v>53</v>
      </c>
      <c r="D30" s="22" t="s">
        <v>129</v>
      </c>
      <c r="F30" s="29">
        <f>VLOOKUP($B30,'Unify Report'!$A$2:$V$98,19,FALSE)</f>
        <v>3592.5</v>
      </c>
      <c r="G30" s="30">
        <f>VLOOKUP($B30,'Unify Report'!$A$2:$V$98,20,FALSE)</f>
        <v>4090</v>
      </c>
      <c r="H30" s="31">
        <f t="shared" si="0"/>
        <v>0.878361858190709</v>
      </c>
      <c r="I30" s="54">
        <f>VLOOKUP($D30,Beddays_Data!$C$2:$E$197,2,FALSE)</f>
        <v>527</v>
      </c>
      <c r="J30" s="32">
        <f>VLOOKUP($D30,Beddays_Data!$C$2:$E$197,3,FALSE)</f>
        <v>558</v>
      </c>
      <c r="K30" s="29">
        <f>$I30/$G$2</f>
        <v>17</v>
      </c>
      <c r="L30" s="32">
        <f>$J30/$G$2</f>
        <v>18</v>
      </c>
      <c r="M30" s="33">
        <f>$F30/$I30</f>
        <v>6.8168880455407965</v>
      </c>
      <c r="N30" s="34">
        <f>$F30/$J30</f>
        <v>6.438172043010753</v>
      </c>
      <c r="O30" s="22"/>
    </row>
    <row r="31" spans="2:15">
      <c r="B31" s="22" t="s">
        <v>88</v>
      </c>
      <c r="C31" s="22" t="s">
        <v>51</v>
      </c>
      <c r="D31" s="22" t="s">
        <v>130</v>
      </c>
      <c r="F31" s="29">
        <f>VLOOKUP($B31,'Unify Report'!$A$2:$V$98,19,FALSE)</f>
        <v>4173.833333333333</v>
      </c>
      <c r="G31" s="30">
        <f>VLOOKUP($B31,'Unify Report'!$A$2:$V$98,20,FALSE)</f>
        <v>4182.5</v>
      </c>
      <c r="H31" s="31">
        <f t="shared" si="0"/>
        <v>0.99792787407850159</v>
      </c>
      <c r="I31" s="54">
        <f>VLOOKUP($D31,Beddays_Data!$C$2:$E$197,2,FALSE)</f>
        <v>658</v>
      </c>
      <c r="J31" s="32">
        <f>VLOOKUP($D31,Beddays_Data!$C$2:$E$197,3,FALSE)</f>
        <v>682</v>
      </c>
      <c r="K31" s="29">
        <f>$I31/$G$2</f>
        <v>21.225806451612904</v>
      </c>
      <c r="L31" s="32">
        <f>$J31/$G$2</f>
        <v>22</v>
      </c>
      <c r="M31" s="33">
        <f>$F31/$I31</f>
        <v>6.3432117527862202</v>
      </c>
      <c r="N31" s="34">
        <f>$F31/$J31</f>
        <v>6.1199902248289337</v>
      </c>
      <c r="O31" s="22"/>
    </row>
    <row r="32" spans="2:15">
      <c r="B32" s="22" t="s">
        <v>89</v>
      </c>
      <c r="C32" s="22" t="s">
        <v>52</v>
      </c>
      <c r="D32" s="22" t="s">
        <v>131</v>
      </c>
      <c r="F32" s="29">
        <f>VLOOKUP($B32,'Unify Report'!$A$2:$V$98,19,FALSE)</f>
        <v>5167.083333333333</v>
      </c>
      <c r="G32" s="30">
        <f>VLOOKUP($B32,'Unify Report'!$A$2:$V$98,20,FALSE)</f>
        <v>5252.5</v>
      </c>
      <c r="H32" s="31">
        <f t="shared" si="0"/>
        <v>0.98373790258607008</v>
      </c>
      <c r="I32" s="54">
        <f>VLOOKUP($D32,Beddays_Data!$C$2:$E$197,2,FALSE)</f>
        <v>642</v>
      </c>
      <c r="J32" s="32">
        <f>VLOOKUP($D32,Beddays_Data!$C$2:$E$197,3,FALSE)</f>
        <v>713</v>
      </c>
      <c r="K32" s="29">
        <f>$I32/$G$2</f>
        <v>20.70967741935484</v>
      </c>
      <c r="L32" s="32">
        <f>$J32/$G$2</f>
        <v>23</v>
      </c>
      <c r="M32" s="33">
        <f>$F32/$I32</f>
        <v>8.048416407061266</v>
      </c>
      <c r="N32" s="34">
        <f>$F32/$J32</f>
        <v>7.2469611968209442</v>
      </c>
      <c r="O32" s="22"/>
    </row>
    <row r="33" spans="2:15">
      <c r="B33" s="22" t="s">
        <v>90</v>
      </c>
      <c r="C33" s="22" t="s">
        <v>48</v>
      </c>
      <c r="D33" s="22" t="s">
        <v>132</v>
      </c>
      <c r="F33" s="29">
        <f>VLOOKUP($B33,'Unify Report'!$A$2:$V$98,19,FALSE)</f>
        <v>6907</v>
      </c>
      <c r="G33" s="30">
        <f>VLOOKUP($B33,'Unify Report'!$A$2:$V$98,20,FALSE)</f>
        <v>6754.75</v>
      </c>
      <c r="H33" s="31">
        <f t="shared" si="0"/>
        <v>1.022539694289204</v>
      </c>
      <c r="I33" s="54">
        <f>VLOOKUP($D33,Beddays_Data!$C$2:$E$197,2,FALSE)</f>
        <v>938</v>
      </c>
      <c r="J33" s="32">
        <f>VLOOKUP($D33,Beddays_Data!$C$2:$E$197,3,FALSE)</f>
        <v>992</v>
      </c>
      <c r="K33" s="29">
        <f>$I33/$G$2</f>
        <v>30.258064516129032</v>
      </c>
      <c r="L33" s="32">
        <f>$J33/$G$2</f>
        <v>32</v>
      </c>
      <c r="M33" s="33">
        <f>$F33/$I33</f>
        <v>7.363539445628998</v>
      </c>
      <c r="N33" s="34">
        <f>$F33/$J33</f>
        <v>6.962701612903226</v>
      </c>
      <c r="O33" s="22"/>
    </row>
    <row r="34" spans="2:15">
      <c r="B34" s="22" t="s">
        <v>91</v>
      </c>
      <c r="C34" s="22" t="s">
        <v>50</v>
      </c>
      <c r="D34" s="22" t="s">
        <v>133</v>
      </c>
      <c r="F34" s="29">
        <f>VLOOKUP($B34,'Unify Report'!$A$2:$V$98,19,FALSE)</f>
        <v>6779</v>
      </c>
      <c r="G34" s="30">
        <f>VLOOKUP($B34,'Unify Report'!$A$2:$V$98,20,FALSE)</f>
        <v>6706.5</v>
      </c>
      <c r="H34" s="31">
        <f t="shared" si="0"/>
        <v>1.0108104078133155</v>
      </c>
      <c r="I34" s="54">
        <f>VLOOKUP($D34,Beddays_Data!$C$2:$E$197,2,FALSE)</f>
        <v>966</v>
      </c>
      <c r="J34" s="32">
        <f>VLOOKUP($D34,Beddays_Data!$C$2:$E$197,3,FALSE)</f>
        <v>992</v>
      </c>
      <c r="K34" s="29">
        <f>$I34/$G$2</f>
        <v>31.161290322580644</v>
      </c>
      <c r="L34" s="32">
        <f>$J34/$G$2</f>
        <v>32</v>
      </c>
      <c r="M34" s="33">
        <f>$F34/$I34</f>
        <v>7.0175983436853002</v>
      </c>
      <c r="N34" s="34">
        <f>$F34/$J34</f>
        <v>6.83366935483871</v>
      </c>
      <c r="O34" s="22"/>
    </row>
    <row r="35" spans="2:15" s="5" customFormat="1">
      <c r="B35" s="35" t="s">
        <v>62</v>
      </c>
      <c r="C35" s="37"/>
      <c r="D35" s="38"/>
      <c r="F35" s="39">
        <f>SUM(F28:F34)</f>
        <v>43577.666666666664</v>
      </c>
      <c r="G35" s="40">
        <f>SUM(G28:G34)</f>
        <v>44631.666666666672</v>
      </c>
      <c r="H35" s="41">
        <f t="shared" si="0"/>
        <v>0.97638448037641423</v>
      </c>
      <c r="I35" s="51">
        <f>SUM(I28:I34)</f>
        <v>4491</v>
      </c>
      <c r="J35" s="42">
        <f>SUM(J28:J34)</f>
        <v>4898</v>
      </c>
      <c r="K35" s="39">
        <f>$I35/$G$2</f>
        <v>144.87096774193549</v>
      </c>
      <c r="L35" s="42">
        <f>$J35/$G$2</f>
        <v>158</v>
      </c>
      <c r="M35" s="43">
        <f>$F35/$I35</f>
        <v>9.7033325911081416</v>
      </c>
      <c r="N35" s="44">
        <f>$F35/$J35</f>
        <v>8.8970328025044232</v>
      </c>
      <c r="O35" s="20"/>
    </row>
    <row r="36" spans="2:15" ht="30">
      <c r="B36" s="22" t="s">
        <v>92</v>
      </c>
      <c r="C36" s="22" t="s">
        <v>40</v>
      </c>
      <c r="D36" s="22" t="s">
        <v>134</v>
      </c>
      <c r="F36" s="29">
        <f>VLOOKUP($B36,'Unify Report'!$A$2:$V$98,19,FALSE)</f>
        <v>10699.6</v>
      </c>
      <c r="G36" s="30">
        <f>VLOOKUP($B36,'Unify Report'!$A$2:$V$98,20,FALSE)</f>
        <v>14336</v>
      </c>
      <c r="H36" s="31">
        <f t="shared" si="0"/>
        <v>0.74634486607142858</v>
      </c>
      <c r="I36" s="54">
        <f>VLOOKUP($D36,Beddays_Data!$C$2:$E$197,2,FALSE)</f>
        <v>386</v>
      </c>
      <c r="J36" s="32">
        <f>VLOOKUP($D36,Beddays_Data!$C$2:$E$197,3,FALSE)</f>
        <v>527</v>
      </c>
      <c r="K36" s="29">
        <f>$I36/$G$2</f>
        <v>12.451612903225806</v>
      </c>
      <c r="L36" s="32">
        <f>$J36/$G$2</f>
        <v>17</v>
      </c>
      <c r="M36" s="33">
        <f>$F36/$I36</f>
        <v>27.71917098445596</v>
      </c>
      <c r="N36" s="34">
        <f>$F36/$J36</f>
        <v>20.302846299810248</v>
      </c>
      <c r="O36" s="103" t="s">
        <v>284</v>
      </c>
    </row>
    <row r="37" spans="2:15">
      <c r="B37" s="22" t="s">
        <v>93</v>
      </c>
      <c r="C37" s="22" t="s">
        <v>35</v>
      </c>
      <c r="D37" s="23" t="s">
        <v>135</v>
      </c>
      <c r="F37" s="29">
        <f>VLOOKUP($B37,'Unify Report'!$A$2:$V$98,19,FALSE)</f>
        <v>7926.3333333333321</v>
      </c>
      <c r="G37" s="30">
        <f>VLOOKUP($B37,'Unify Report'!$A$2:$V$98,20,FALSE)</f>
        <v>8841.25</v>
      </c>
      <c r="H37" s="31">
        <f t="shared" si="0"/>
        <v>0.89651727225599687</v>
      </c>
      <c r="I37" s="54">
        <f>VLOOKUP($D37,Beddays_Data!$C$2:$E$197,2,FALSE)</f>
        <v>751</v>
      </c>
      <c r="J37" s="32">
        <f>VLOOKUP($D37,Beddays_Data!$C$2:$E$197,3,FALSE)</f>
        <v>837</v>
      </c>
      <c r="K37" s="29">
        <f>$I37/$G$2</f>
        <v>24.225806451612904</v>
      </c>
      <c r="L37" s="32">
        <f>$J37/$G$2</f>
        <v>27</v>
      </c>
      <c r="M37" s="33">
        <f>$F37/$I37</f>
        <v>10.554371948513092</v>
      </c>
      <c r="N37" s="34">
        <f>$F37/$J37</f>
        <v>9.4699322978892848</v>
      </c>
      <c r="O37" s="22"/>
    </row>
    <row r="38" spans="2:15">
      <c r="B38" s="22" t="s">
        <v>94</v>
      </c>
      <c r="C38" s="22" t="s">
        <v>37</v>
      </c>
      <c r="D38" s="23" t="s">
        <v>136</v>
      </c>
      <c r="F38" s="29">
        <f>VLOOKUP($B38,'Unify Report'!$A$2:$V$98,19,FALSE)</f>
        <v>4790.5</v>
      </c>
      <c r="G38" s="30">
        <f>VLOOKUP($B38,'Unify Report'!$A$2:$V$98,20,FALSE)</f>
        <v>4690.5</v>
      </c>
      <c r="H38" s="31">
        <f t="shared" si="0"/>
        <v>1.0213196887325444</v>
      </c>
      <c r="I38" s="54">
        <f>VLOOKUP($D38,Beddays_Data!$C$2:$E$197,2,FALSE)</f>
        <v>501</v>
      </c>
      <c r="J38" s="32">
        <f>VLOOKUP($D38,Beddays_Data!$C$2:$E$197,3,FALSE)</f>
        <v>682</v>
      </c>
      <c r="K38" s="29">
        <f>$I38/$G$2</f>
        <v>16.161290322580644</v>
      </c>
      <c r="L38" s="32">
        <f>$J38/$G$2</f>
        <v>22</v>
      </c>
      <c r="M38" s="33">
        <f>$F38/$I38</f>
        <v>9.5618762475049905</v>
      </c>
      <c r="N38" s="34">
        <f>$F38/$J38</f>
        <v>7.024193548387097</v>
      </c>
      <c r="O38" s="22"/>
    </row>
    <row r="39" spans="2:15">
      <c r="B39" s="22" t="s">
        <v>95</v>
      </c>
      <c r="C39" s="22" t="s">
        <v>39</v>
      </c>
      <c r="D39" s="23" t="s">
        <v>137</v>
      </c>
      <c r="F39" s="29">
        <f>VLOOKUP($B39,'Unify Report'!$A$2:$V$98,19,FALSE)</f>
        <v>4229</v>
      </c>
      <c r="G39" s="30">
        <f>VLOOKUP($B39,'Unify Report'!$A$2:$V$98,20,FALSE)</f>
        <v>4635</v>
      </c>
      <c r="H39" s="31">
        <f t="shared" si="0"/>
        <v>0.9124056094929881</v>
      </c>
      <c r="I39" s="54">
        <f>VLOOKUP($D39,Beddays_Data!$C$2:$E$197,2,FALSE)</f>
        <v>385</v>
      </c>
      <c r="J39" s="32">
        <f>VLOOKUP($D39,Beddays_Data!$C$2:$E$197,3,FALSE)</f>
        <v>496</v>
      </c>
      <c r="K39" s="29">
        <f>$I39/$G$2</f>
        <v>12.419354838709678</v>
      </c>
      <c r="L39" s="32">
        <f>$J39/$G$2</f>
        <v>16</v>
      </c>
      <c r="M39" s="33">
        <f>$F39/$I39</f>
        <v>10.984415584415585</v>
      </c>
      <c r="N39" s="34">
        <f>$F39/$J39</f>
        <v>8.5262096774193541</v>
      </c>
      <c r="O39" s="22"/>
    </row>
    <row r="40" spans="2:15">
      <c r="B40" s="22" t="s">
        <v>96</v>
      </c>
      <c r="C40" s="22" t="s">
        <v>38</v>
      </c>
      <c r="D40" s="23" t="s">
        <v>138</v>
      </c>
      <c r="F40" s="29">
        <f>VLOOKUP($B40,'Unify Report'!$A$2:$V$98,19,FALSE)</f>
        <v>3685.25</v>
      </c>
      <c r="G40" s="30">
        <f>VLOOKUP($B40,'Unify Report'!$A$2:$V$98,20,FALSE)</f>
        <v>4273.0166666666664</v>
      </c>
      <c r="H40" s="31">
        <f t="shared" si="0"/>
        <v>0.8624469051918825</v>
      </c>
      <c r="I40" s="54">
        <f>VLOOKUP($D40,Beddays_Data!$C$2:$E$197,2,FALSE)</f>
        <v>191</v>
      </c>
      <c r="J40" s="32">
        <f>VLOOKUP($D40,Beddays_Data!$C$2:$E$197,3,FALSE)</f>
        <v>279</v>
      </c>
      <c r="K40" s="29">
        <f>$I40/$G$2</f>
        <v>6.161290322580645</v>
      </c>
      <c r="L40" s="32">
        <f>$J40/$G$2</f>
        <v>9</v>
      </c>
      <c r="M40" s="33">
        <f>$F40/$I40</f>
        <v>19.294502617801047</v>
      </c>
      <c r="N40" s="34">
        <f>$F40/$J40</f>
        <v>13.208781362007169</v>
      </c>
      <c r="O40" s="22"/>
    </row>
    <row r="41" spans="2:15">
      <c r="B41" s="22" t="s">
        <v>97</v>
      </c>
      <c r="C41" s="22" t="s">
        <v>36</v>
      </c>
      <c r="D41" s="23" t="s">
        <v>139</v>
      </c>
      <c r="F41" s="29">
        <f>VLOOKUP($B41,'Unify Report'!$A$2:$V$98,19,FALSE)</f>
        <v>4878.25</v>
      </c>
      <c r="G41" s="30">
        <f>VLOOKUP($B41,'Unify Report'!$A$2:$V$98,20,FALSE)</f>
        <v>5267</v>
      </c>
      <c r="H41" s="31">
        <f t="shared" si="0"/>
        <v>0.92619138029238657</v>
      </c>
      <c r="I41" s="54">
        <f>VLOOKUP($D41,Beddays_Data!$C$2:$E$197,2,FALSE)</f>
        <v>366</v>
      </c>
      <c r="J41" s="32">
        <f>VLOOKUP($D41,Beddays_Data!$C$2:$E$197,3,FALSE)</f>
        <v>496</v>
      </c>
      <c r="K41" s="29">
        <f>$I41/$G$2</f>
        <v>11.806451612903226</v>
      </c>
      <c r="L41" s="32">
        <f>$J41/$G$2</f>
        <v>16</v>
      </c>
      <c r="M41" s="33">
        <f>$F41/$I41</f>
        <v>13.328551912568306</v>
      </c>
      <c r="N41" s="34">
        <f>$F41/$J41</f>
        <v>9.8351814516129039</v>
      </c>
      <c r="O41" s="22"/>
    </row>
    <row r="42" spans="2:15">
      <c r="B42" s="22" t="s">
        <v>98</v>
      </c>
      <c r="C42" s="22" t="s">
        <v>33</v>
      </c>
      <c r="D42" s="23" t="s">
        <v>140</v>
      </c>
      <c r="F42" s="29">
        <f>VLOOKUP($B42,'Unify Report'!$A$2:$V$98,19,FALSE)</f>
        <v>3821.9</v>
      </c>
      <c r="G42" s="30">
        <f>VLOOKUP($B42,'Unify Report'!$A$2:$V$98,20,FALSE)</f>
        <v>3540.5</v>
      </c>
      <c r="H42" s="31">
        <f t="shared" si="0"/>
        <v>1.0794802993927413</v>
      </c>
      <c r="I42" s="54">
        <f>VLOOKUP($D42,Beddays_Data!$C$2:$E$197,2,FALSE)</f>
        <v>382</v>
      </c>
      <c r="J42" s="32">
        <f>VLOOKUP($D42,Beddays_Data!$C$2:$E$197,3,FALSE)</f>
        <v>434</v>
      </c>
      <c r="K42" s="29">
        <f>$I42/$G$2</f>
        <v>12.32258064516129</v>
      </c>
      <c r="L42" s="32">
        <f>$J42/$G$2</f>
        <v>14</v>
      </c>
      <c r="M42" s="33">
        <f>$F42/$I42</f>
        <v>10.004973821989529</v>
      </c>
      <c r="N42" s="34">
        <f>$F42/$J42</f>
        <v>8.8062211981566829</v>
      </c>
      <c r="O42" s="22"/>
    </row>
    <row r="43" spans="2:15">
      <c r="B43" s="22" t="s">
        <v>99</v>
      </c>
      <c r="C43" s="22" t="s">
        <v>34</v>
      </c>
      <c r="D43" s="23" t="s">
        <v>141</v>
      </c>
      <c r="F43" s="29">
        <f>VLOOKUP($B43,'Unify Report'!$A$2:$V$98,19,FALSE)</f>
        <v>2133.25</v>
      </c>
      <c r="G43" s="30">
        <f>VLOOKUP($B43,'Unify Report'!$A$2:$V$98,20,FALSE)</f>
        <v>2197.5</v>
      </c>
      <c r="H43" s="31">
        <f t="shared" si="0"/>
        <v>0.97076222980659843</v>
      </c>
      <c r="I43" s="54">
        <f>VLOOKUP($D43,Beddays_Data!$C$2:$E$197,2,FALSE)</f>
        <v>163</v>
      </c>
      <c r="J43" s="32">
        <f>VLOOKUP($D43,Beddays_Data!$C$2:$E$197,3,FALSE)</f>
        <v>279</v>
      </c>
      <c r="K43" s="29">
        <f>$I43/$G$2</f>
        <v>5.258064516129032</v>
      </c>
      <c r="L43" s="32">
        <f>$J43/$G$2</f>
        <v>9</v>
      </c>
      <c r="M43" s="33">
        <f>$F43/$I43</f>
        <v>13.087423312883436</v>
      </c>
      <c r="N43" s="34">
        <f>$F43/$J43</f>
        <v>7.6460573476702507</v>
      </c>
      <c r="O43" s="22"/>
    </row>
    <row r="44" spans="2:15">
      <c r="B44" s="22" t="s">
        <v>100</v>
      </c>
      <c r="C44" s="22" t="s">
        <v>41</v>
      </c>
      <c r="D44" s="23" t="s">
        <v>142</v>
      </c>
      <c r="F44" s="29">
        <f>VLOOKUP($B44,'Unify Report'!$A$2:$V$98,19,FALSE)</f>
        <v>5670.6666666666661</v>
      </c>
      <c r="G44" s="30">
        <f>VLOOKUP($B44,'Unify Report'!$A$2:$V$98,20,FALSE)</f>
        <v>6156</v>
      </c>
      <c r="H44" s="31">
        <f t="shared" si="0"/>
        <v>0.92116092700888008</v>
      </c>
      <c r="I44" s="54">
        <f>VLOOKUP($D44,Beddays_Data!$C$2:$E$197,2,FALSE)</f>
        <v>495</v>
      </c>
      <c r="J44" s="32">
        <f>VLOOKUP($D44,Beddays_Data!$C$2:$E$197,3,FALSE)</f>
        <v>495</v>
      </c>
      <c r="K44" s="29">
        <f>$I44/$G$2</f>
        <v>15.96774193548387</v>
      </c>
      <c r="L44" s="32">
        <f>$J44/$G$2</f>
        <v>15.96774193548387</v>
      </c>
      <c r="M44" s="33">
        <f>$F44/$I44</f>
        <v>11.455892255892255</v>
      </c>
      <c r="N44" s="34">
        <f>$F44/$J44</f>
        <v>11.455892255892255</v>
      </c>
      <c r="O44" s="22"/>
    </row>
    <row r="45" spans="2:15">
      <c r="B45" s="22" t="s">
        <v>101</v>
      </c>
      <c r="C45" s="22" t="s">
        <v>45</v>
      </c>
      <c r="D45" s="22" t="s">
        <v>143</v>
      </c>
      <c r="F45" s="29">
        <f>VLOOKUP($B45,'Unify Report'!$A$2:$V$98,19,FALSE)</f>
        <v>1416</v>
      </c>
      <c r="G45" s="30">
        <f>VLOOKUP($B45,'Unify Report'!$A$2:$V$98,20,FALSE)</f>
        <v>1518</v>
      </c>
      <c r="H45" s="31">
        <f t="shared" si="0"/>
        <v>0.93280632411067199</v>
      </c>
      <c r="I45" s="54">
        <f>VLOOKUP($D45,Beddays_Data!$C$2:$E$197,2,FALSE)</f>
        <v>32</v>
      </c>
      <c r="J45" s="32">
        <f>VLOOKUP($D45,Beddays_Data!$C$2:$E$197,3,FALSE)</f>
        <v>124</v>
      </c>
      <c r="K45" s="29">
        <f>$I45/$G$2</f>
        <v>1.032258064516129</v>
      </c>
      <c r="L45" s="32">
        <f>$J45/$G$2</f>
        <v>4</v>
      </c>
      <c r="M45" s="33">
        <f>$F45/$I45</f>
        <v>44.25</v>
      </c>
      <c r="N45" s="34">
        <f>$F45/$J45</f>
        <v>11.419354838709678</v>
      </c>
      <c r="O45" s="22"/>
    </row>
    <row r="46" spans="2:15">
      <c r="B46" s="73" t="s">
        <v>102</v>
      </c>
      <c r="C46" s="22" t="s">
        <v>44</v>
      </c>
      <c r="D46" s="23" t="s">
        <v>144</v>
      </c>
      <c r="F46" s="29">
        <f>VLOOKUP($B46,'Unify Report'!$A$2:$V$98,19,FALSE)</f>
        <v>6057.75</v>
      </c>
      <c r="G46" s="30">
        <f>VLOOKUP($B46,'Unify Report'!$A$2:$V$98,20,FALSE)</f>
        <v>7094.5</v>
      </c>
      <c r="H46" s="31">
        <f t="shared" si="0"/>
        <v>0.8538656705898936</v>
      </c>
      <c r="I46" s="54">
        <f>VLOOKUP($D46,Beddays_Data!$C$2:$E$197,2,FALSE)</f>
        <v>955</v>
      </c>
      <c r="J46" s="32">
        <f>VLOOKUP($D46,Beddays_Data!$C$2:$E$197,3,FALSE)</f>
        <v>1178</v>
      </c>
      <c r="K46" s="29">
        <f>$I46/$G$2</f>
        <v>30.806451612903224</v>
      </c>
      <c r="L46" s="32">
        <f>$J46/$G$2</f>
        <v>38</v>
      </c>
      <c r="M46" s="33">
        <f>$F46/$I46</f>
        <v>6.3431937172774866</v>
      </c>
      <c r="N46" s="34">
        <f>$F46/$J46</f>
        <v>5.1424023769100167</v>
      </c>
      <c r="O46" s="22"/>
    </row>
    <row r="47" spans="2:15">
      <c r="B47" s="22" t="s">
        <v>103</v>
      </c>
      <c r="C47" s="22" t="s">
        <v>47</v>
      </c>
      <c r="D47" s="23" t="s">
        <v>145</v>
      </c>
      <c r="F47" s="29">
        <f>VLOOKUP($B47,'Unify Report'!$A$2:$V$98,19,FALSE)</f>
        <v>11044.5</v>
      </c>
      <c r="G47" s="30">
        <f>VLOOKUP($B47,'Unify Report'!$A$2:$V$98,20,FALSE)</f>
        <v>13214.75</v>
      </c>
      <c r="H47" s="31">
        <f t="shared" si="0"/>
        <v>0.8357706350857943</v>
      </c>
      <c r="I47" s="54">
        <f>VLOOKUP($D47,Beddays_Data!$C$2:$E$197,2,FALSE)</f>
        <v>856</v>
      </c>
      <c r="J47" s="32">
        <f>VLOOKUP($D47,Beddays_Data!$C$2:$E$197,3,FALSE)</f>
        <v>961</v>
      </c>
      <c r="K47" s="29">
        <f>$I47/$G$2</f>
        <v>27.612903225806452</v>
      </c>
      <c r="L47" s="32">
        <f>$J47/$G$2</f>
        <v>31</v>
      </c>
      <c r="M47" s="33">
        <f>$F47/$I47</f>
        <v>12.902453271028037</v>
      </c>
      <c r="N47" s="34">
        <f>$F47/$J47</f>
        <v>11.492715920915712</v>
      </c>
      <c r="O47" s="22"/>
    </row>
    <row r="48" spans="2:15">
      <c r="B48" s="22" t="s">
        <v>104</v>
      </c>
      <c r="C48" s="22" t="s">
        <v>42</v>
      </c>
      <c r="D48" s="23" t="s">
        <v>146</v>
      </c>
      <c r="F48" s="29">
        <f>VLOOKUP($B48,'Unify Report'!$A$2:$V$98,19,FALSE)</f>
        <v>2660.5</v>
      </c>
      <c r="G48" s="30">
        <f>VLOOKUP($B48,'Unify Report'!$A$2:$V$98,20,FALSE)</f>
        <v>2595.5</v>
      </c>
      <c r="H48" s="31">
        <f t="shared" si="0"/>
        <v>1.0250433442496629</v>
      </c>
      <c r="I48" s="54">
        <f>VLOOKUP($D48,Beddays_Data!$C$2:$E$197,2,FALSE)</f>
        <v>369</v>
      </c>
      <c r="J48" s="32">
        <f>VLOOKUP($D48,Beddays_Data!$C$2:$E$197,3,FALSE)</f>
        <v>496</v>
      </c>
      <c r="K48" s="29">
        <f>$I48/$G$2</f>
        <v>11.903225806451612</v>
      </c>
      <c r="L48" s="32">
        <f>$J48/$G$2</f>
        <v>16</v>
      </c>
      <c r="M48" s="33">
        <f>$F48/$I48</f>
        <v>7.2100271002710024</v>
      </c>
      <c r="N48" s="34">
        <f>$F48/$J48</f>
        <v>5.363911290322581</v>
      </c>
      <c r="O48" s="22"/>
    </row>
    <row r="49" spans="2:15">
      <c r="B49" s="22" t="s">
        <v>105</v>
      </c>
      <c r="C49" s="22" t="s">
        <v>43</v>
      </c>
      <c r="D49" s="23" t="s">
        <v>147</v>
      </c>
      <c r="F49" s="29">
        <f>VLOOKUP($B49,'Unify Report'!$A$2:$V$98,19,FALSE)</f>
        <v>7883.8</v>
      </c>
      <c r="G49" s="30">
        <f>VLOOKUP($B49,'Unify Report'!$A$2:$V$98,20,FALSE)</f>
        <v>8099.3</v>
      </c>
      <c r="H49" s="31">
        <f t="shared" si="0"/>
        <v>0.97339276233748595</v>
      </c>
      <c r="I49" s="54">
        <f>VLOOKUP($D49,Beddays_Data!$C$2:$E$197,2,FALSE)</f>
        <v>280</v>
      </c>
      <c r="J49" s="32">
        <f>VLOOKUP($D49,Beddays_Data!$C$2:$E$197,3,FALSE)</f>
        <v>434</v>
      </c>
      <c r="K49" s="29">
        <f>$I49/$G$2</f>
        <v>9.0322580645161299</v>
      </c>
      <c r="L49" s="32">
        <f>$J49/$G$2</f>
        <v>14</v>
      </c>
      <c r="M49" s="33">
        <f>$F49/$I49</f>
        <v>28.156428571428574</v>
      </c>
      <c r="N49" s="34">
        <f>$F49/$J49</f>
        <v>18.165437788018433</v>
      </c>
      <c r="O49" s="22"/>
    </row>
    <row r="50" spans="2:15">
      <c r="B50" s="22" t="s">
        <v>106</v>
      </c>
      <c r="C50" s="22" t="s">
        <v>46</v>
      </c>
      <c r="D50" s="23" t="s">
        <v>148</v>
      </c>
      <c r="F50" s="29">
        <f>VLOOKUP($B50,'Unify Report'!$A$2:$V$98,19,FALSE)</f>
        <v>3311.5</v>
      </c>
      <c r="G50" s="30">
        <f>VLOOKUP($B50,'Unify Report'!$A$2:$V$98,20,FALSE)</f>
        <v>3600</v>
      </c>
      <c r="H50" s="31">
        <f t="shared" si="0"/>
        <v>0.91986111111111113</v>
      </c>
      <c r="I50" s="54">
        <f>VLOOKUP($D50,Beddays_Data!$C$2:$E$197,2,FALSE)</f>
        <v>271</v>
      </c>
      <c r="J50" s="32">
        <f>VLOOKUP($D50,Beddays_Data!$C$2:$E$197,3,FALSE)</f>
        <v>682</v>
      </c>
      <c r="K50" s="29">
        <f>$I50/$G$2</f>
        <v>8.741935483870968</v>
      </c>
      <c r="L50" s="32">
        <f>$J50/$G$2</f>
        <v>22</v>
      </c>
      <c r="M50" s="33">
        <f>$F50/$I50</f>
        <v>12.219557195571955</v>
      </c>
      <c r="N50" s="34">
        <f>$F50/$J50</f>
        <v>4.8555718475073313</v>
      </c>
      <c r="O50" s="22"/>
    </row>
    <row r="51" spans="2:15" s="5" customFormat="1">
      <c r="B51" s="35" t="s">
        <v>186</v>
      </c>
      <c r="C51" s="37"/>
      <c r="D51" s="38"/>
      <c r="F51" s="39">
        <f>SUM(F36:F50)</f>
        <v>80208.800000000003</v>
      </c>
      <c r="G51" s="40">
        <f>SUM(G36:G50)</f>
        <v>90058.816666666666</v>
      </c>
      <c r="H51" s="41">
        <f t="shared" si="0"/>
        <v>0.89062684775079404</v>
      </c>
      <c r="I51" s="51">
        <f>SUM(I36:I50)</f>
        <v>6383</v>
      </c>
      <c r="J51" s="42">
        <f>SUM(J36:J50)</f>
        <v>8400</v>
      </c>
      <c r="K51" s="39">
        <f>$I51/$G$2</f>
        <v>205.90322580645162</v>
      </c>
      <c r="L51" s="42">
        <f>$J51/$G$2</f>
        <v>270.96774193548384</v>
      </c>
      <c r="M51" s="43">
        <f>$F51/$I51</f>
        <v>12.566003446655179</v>
      </c>
      <c r="N51" s="44">
        <f>$F51/$J51</f>
        <v>9.5486666666666675</v>
      </c>
      <c r="O51" s="20"/>
    </row>
    <row r="52" spans="2:15" s="5" customFormat="1" ht="15.75">
      <c r="B52" s="45" t="s">
        <v>187</v>
      </c>
      <c r="C52" s="46"/>
      <c r="D52" s="47"/>
      <c r="E52" s="36"/>
      <c r="F52" s="49">
        <f>F51+F35+F27+F19</f>
        <v>232286.26666666666</v>
      </c>
      <c r="G52" s="50">
        <f>G51+G35+G27+G19</f>
        <v>238150.86666666664</v>
      </c>
      <c r="H52" s="48">
        <f t="shared" si="0"/>
        <v>0.97537443351735309</v>
      </c>
      <c r="I52" s="55">
        <f>I51+I35+I27+I19</f>
        <v>24550</v>
      </c>
      <c r="J52" s="50">
        <f>J51+J35+J27+J19</f>
        <v>27775</v>
      </c>
      <c r="K52" s="49">
        <f>K51+K35+K27+K19</f>
        <v>791.93548387096769</v>
      </c>
      <c r="L52" s="56">
        <f>L51+L35+L27+L19</f>
        <v>895.9677419354839</v>
      </c>
      <c r="M52" s="57">
        <f>$F52/$I52</f>
        <v>9.4617623896809224</v>
      </c>
      <c r="N52" s="53">
        <f>$F52/$J52</f>
        <v>8.3631419141914183</v>
      </c>
      <c r="O52" s="20"/>
    </row>
  </sheetData>
  <mergeCells count="2">
    <mergeCell ref="F4:H4"/>
    <mergeCell ref="I4:J4"/>
  </mergeCells>
  <printOptions horizontalCentered="1"/>
  <pageMargins left="0.70866141732283472" right="0.70866141732283472" top="0.43307086614173229" bottom="0.47244094488188981" header="0.31496062992125984" footer="0.31496062992125984"/>
  <pageSetup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topLeftCell="B1" workbookViewId="0">
      <pane ySplit="1" topLeftCell="A35" activePane="bottomLeft" state="frozenSplit"/>
      <selection pane="bottomLeft" activeCell="T57" sqref="T57"/>
    </sheetView>
  </sheetViews>
  <sheetFormatPr defaultRowHeight="15"/>
  <cols>
    <col min="2" max="2" width="47.85546875" bestFit="1" customWidth="1"/>
    <col min="3" max="4" width="10.7109375" style="2" customWidth="1"/>
    <col min="5" max="5" width="10.7109375" style="4" customWidth="1"/>
    <col min="6" max="8" width="10.7109375" style="2" customWidth="1"/>
    <col min="9" max="9" width="10.7109375" style="4" customWidth="1"/>
    <col min="10" max="10" width="10.7109375" style="3" customWidth="1"/>
    <col min="11" max="12" width="10.7109375" style="2" customWidth="1"/>
    <col min="13" max="13" width="10.7109375" style="3" customWidth="1"/>
    <col min="14" max="16" width="10.7109375" style="2" customWidth="1"/>
    <col min="17" max="17" width="10.7109375" style="3" customWidth="1"/>
    <col min="18" max="18" width="10.7109375" style="2" customWidth="1"/>
    <col min="19" max="20" width="10.7109375" style="74" customWidth="1"/>
    <col min="21" max="21" width="10.7109375" style="75" customWidth="1"/>
    <col min="22" max="22" width="10.7109375" style="74" customWidth="1"/>
  </cols>
  <sheetData>
    <row r="1" spans="1:22" s="1" customFormat="1" ht="60">
      <c r="A1" s="1" t="s">
        <v>64</v>
      </c>
      <c r="B1" s="6" t="s">
        <v>0</v>
      </c>
      <c r="C1" s="7" t="s">
        <v>2</v>
      </c>
      <c r="D1" s="7" t="s">
        <v>1</v>
      </c>
      <c r="E1" s="8" t="s">
        <v>9</v>
      </c>
      <c r="F1" s="12" t="s">
        <v>55</v>
      </c>
      <c r="G1" s="10" t="s">
        <v>4</v>
      </c>
      <c r="H1" s="7" t="s">
        <v>3</v>
      </c>
      <c r="I1" s="8" t="s">
        <v>10</v>
      </c>
      <c r="J1" s="9" t="s">
        <v>55</v>
      </c>
      <c r="K1" s="10" t="s">
        <v>6</v>
      </c>
      <c r="L1" s="7" t="s">
        <v>5</v>
      </c>
      <c r="M1" s="11" t="s">
        <v>11</v>
      </c>
      <c r="N1" s="12" t="s">
        <v>55</v>
      </c>
      <c r="O1" s="10" t="s">
        <v>8</v>
      </c>
      <c r="P1" s="7" t="s">
        <v>7</v>
      </c>
      <c r="Q1" s="11" t="s">
        <v>12</v>
      </c>
      <c r="R1" s="12" t="s">
        <v>55</v>
      </c>
      <c r="S1" s="82" t="s">
        <v>56</v>
      </c>
      <c r="T1" s="83" t="s">
        <v>57</v>
      </c>
      <c r="U1" s="84" t="s">
        <v>58</v>
      </c>
      <c r="V1" s="85" t="s">
        <v>59</v>
      </c>
    </row>
    <row r="2" spans="1:22">
      <c r="A2" t="str">
        <f>RIGHT(B2,6)</f>
        <v>125906</v>
      </c>
      <c r="B2" s="22" t="s">
        <v>17</v>
      </c>
      <c r="C2" s="64">
        <v>1389</v>
      </c>
      <c r="D2" s="64">
        <v>1389.5</v>
      </c>
      <c r="E2" s="65">
        <v>0.99964015833033459</v>
      </c>
      <c r="F2" s="64">
        <v>-0.5</v>
      </c>
      <c r="G2" s="64">
        <v>1690.75</v>
      </c>
      <c r="H2" s="64">
        <v>1097</v>
      </c>
      <c r="I2" s="65">
        <v>1.5412488605287147</v>
      </c>
      <c r="J2" s="64">
        <v>593.75</v>
      </c>
      <c r="K2" s="64">
        <v>1024</v>
      </c>
      <c r="L2" s="64">
        <v>1023</v>
      </c>
      <c r="M2" s="65">
        <v>1.0009775171065494</v>
      </c>
      <c r="N2" s="64">
        <v>1</v>
      </c>
      <c r="O2" s="64">
        <v>1364</v>
      </c>
      <c r="P2" s="64">
        <v>682</v>
      </c>
      <c r="Q2" s="65">
        <v>2</v>
      </c>
      <c r="R2" s="64">
        <v>682</v>
      </c>
      <c r="S2" s="86">
        <f>O2+K2+G2+C2</f>
        <v>5467.75</v>
      </c>
      <c r="T2" s="86">
        <f>P2+L2+H2+D2</f>
        <v>4191.5</v>
      </c>
      <c r="U2" s="87">
        <f>S2/T2</f>
        <v>1.3044852678038887</v>
      </c>
      <c r="V2" s="86">
        <f>S2-T2</f>
        <v>1276.25</v>
      </c>
    </row>
    <row r="3" spans="1:22">
      <c r="A3" t="str">
        <f t="shared" ref="A3:A47" si="0">RIGHT(B3,6)</f>
        <v>127809</v>
      </c>
      <c r="B3" s="22" t="s">
        <v>20</v>
      </c>
      <c r="C3" s="64">
        <v>2768.333333333333</v>
      </c>
      <c r="D3" s="64">
        <v>2690</v>
      </c>
      <c r="E3" s="65">
        <v>1.0291201982651796</v>
      </c>
      <c r="F3" s="64">
        <v>78.33333333333303</v>
      </c>
      <c r="G3" s="64">
        <v>1745.25</v>
      </c>
      <c r="H3" s="64">
        <v>1858.5</v>
      </c>
      <c r="I3" s="65">
        <v>0.93906376109765943</v>
      </c>
      <c r="J3" s="64">
        <v>-113.25</v>
      </c>
      <c r="K3" s="64">
        <v>2068</v>
      </c>
      <c r="L3" s="64">
        <v>2024</v>
      </c>
      <c r="M3" s="65">
        <v>1.0217391304347827</v>
      </c>
      <c r="N3" s="64">
        <v>44</v>
      </c>
      <c r="O3" s="64">
        <v>1694</v>
      </c>
      <c r="P3" s="64">
        <v>1694</v>
      </c>
      <c r="Q3" s="65">
        <v>1</v>
      </c>
      <c r="R3" s="64">
        <v>0</v>
      </c>
      <c r="S3" s="86">
        <f t="shared" ref="S3:S49" si="1">O3+K3+G3+C3</f>
        <v>8275.5833333333321</v>
      </c>
      <c r="T3" s="86">
        <f t="shared" ref="T3:T49" si="2">P3+L3+H3+D3</f>
        <v>8266.5</v>
      </c>
      <c r="U3" s="87">
        <f t="shared" ref="U3:U49" si="3">S3/T3</f>
        <v>1.0010988124760578</v>
      </c>
      <c r="V3" s="86">
        <f t="shared" ref="V3:V49" si="4">S3-T3</f>
        <v>9.0833333333321207</v>
      </c>
    </row>
    <row r="4" spans="1:22">
      <c r="A4" t="str">
        <f t="shared" si="0"/>
        <v>127808</v>
      </c>
      <c r="B4" s="22" t="s">
        <v>19</v>
      </c>
      <c r="C4" s="64">
        <v>2080</v>
      </c>
      <c r="D4" s="64">
        <v>2238</v>
      </c>
      <c r="E4" s="65">
        <v>0.92940125111706884</v>
      </c>
      <c r="F4" s="64">
        <v>-158</v>
      </c>
      <c r="G4" s="64">
        <v>1965</v>
      </c>
      <c r="H4" s="64">
        <v>1860</v>
      </c>
      <c r="I4" s="65">
        <v>1.056451612903226</v>
      </c>
      <c r="J4" s="64">
        <v>105</v>
      </c>
      <c r="K4" s="64">
        <v>1663.25</v>
      </c>
      <c r="L4" s="64">
        <v>1705</v>
      </c>
      <c r="M4" s="65">
        <v>0.97551319648093837</v>
      </c>
      <c r="N4" s="64">
        <v>-41.75</v>
      </c>
      <c r="O4" s="64">
        <v>1542.75</v>
      </c>
      <c r="P4" s="64">
        <v>1364</v>
      </c>
      <c r="Q4" s="65">
        <v>1.1310483870967742</v>
      </c>
      <c r="R4" s="64">
        <v>178.75</v>
      </c>
      <c r="S4" s="86">
        <f t="shared" si="1"/>
        <v>7251</v>
      </c>
      <c r="T4" s="86">
        <f t="shared" si="2"/>
        <v>7167</v>
      </c>
      <c r="U4" s="87">
        <f t="shared" si="3"/>
        <v>1.0117203850983676</v>
      </c>
      <c r="V4" s="86">
        <f t="shared" si="4"/>
        <v>84</v>
      </c>
    </row>
    <row r="5" spans="1:22">
      <c r="A5" t="str">
        <f t="shared" si="0"/>
        <v>109008</v>
      </c>
      <c r="B5" s="22" t="s">
        <v>13</v>
      </c>
      <c r="C5" s="64">
        <v>1787.3333333333333</v>
      </c>
      <c r="D5" s="64">
        <v>1868.25</v>
      </c>
      <c r="E5" s="65">
        <v>0.95668852312770425</v>
      </c>
      <c r="F5" s="64">
        <v>-80.916666666666742</v>
      </c>
      <c r="G5" s="64">
        <v>1471.25</v>
      </c>
      <c r="H5" s="64">
        <v>1116.0000000000032</v>
      </c>
      <c r="I5" s="65">
        <v>1.3183243727598528</v>
      </c>
      <c r="J5" s="64">
        <v>355.24999999999682</v>
      </c>
      <c r="K5" s="64">
        <v>1353</v>
      </c>
      <c r="L5" s="64">
        <v>1364</v>
      </c>
      <c r="M5" s="65">
        <v>0.99193548387096775</v>
      </c>
      <c r="N5" s="64">
        <v>-11</v>
      </c>
      <c r="O5" s="64">
        <v>1210</v>
      </c>
      <c r="P5" s="64">
        <v>1023</v>
      </c>
      <c r="Q5" s="65">
        <v>1.1827956989247312</v>
      </c>
      <c r="R5" s="64">
        <v>187</v>
      </c>
      <c r="S5" s="86">
        <f t="shared" si="1"/>
        <v>5821.583333333333</v>
      </c>
      <c r="T5" s="86">
        <f t="shared" si="2"/>
        <v>5371.2500000000036</v>
      </c>
      <c r="U5" s="87">
        <f t="shared" si="3"/>
        <v>1.0838414397641758</v>
      </c>
      <c r="V5" s="86">
        <f t="shared" si="4"/>
        <v>450.33333333332939</v>
      </c>
    </row>
    <row r="6" spans="1:22">
      <c r="A6" t="str">
        <f t="shared" si="0"/>
        <v>127810</v>
      </c>
      <c r="B6" s="22" t="s">
        <v>18</v>
      </c>
      <c r="C6" s="64">
        <v>1029.75</v>
      </c>
      <c r="D6" s="64">
        <v>1098</v>
      </c>
      <c r="E6" s="65">
        <v>0.93784153005464488</v>
      </c>
      <c r="F6" s="64">
        <v>-68.25</v>
      </c>
      <c r="G6" s="64">
        <v>730.25</v>
      </c>
      <c r="H6" s="64">
        <v>701.5</v>
      </c>
      <c r="I6" s="65">
        <v>1.0409836065573772</v>
      </c>
      <c r="J6" s="64">
        <v>28.75</v>
      </c>
      <c r="K6" s="64">
        <v>682.5</v>
      </c>
      <c r="L6" s="64">
        <v>682</v>
      </c>
      <c r="M6" s="65">
        <v>1.0007331378299122</v>
      </c>
      <c r="N6" s="64">
        <v>0.5</v>
      </c>
      <c r="O6" s="64">
        <v>660.25</v>
      </c>
      <c r="P6" s="64">
        <v>671.25</v>
      </c>
      <c r="Q6" s="65">
        <v>0.9836126629422719</v>
      </c>
      <c r="R6" s="64">
        <v>-11</v>
      </c>
      <c r="S6" s="86">
        <f t="shared" si="1"/>
        <v>3102.75</v>
      </c>
      <c r="T6" s="86">
        <f t="shared" si="2"/>
        <v>3152.75</v>
      </c>
      <c r="U6" s="87">
        <f t="shared" si="3"/>
        <v>0.98414082943462056</v>
      </c>
      <c r="V6" s="86">
        <f t="shared" si="4"/>
        <v>-50</v>
      </c>
    </row>
    <row r="7" spans="1:22">
      <c r="A7" t="str">
        <f t="shared" si="0"/>
        <v>109011</v>
      </c>
      <c r="B7" s="22" t="s">
        <v>15</v>
      </c>
      <c r="C7" s="64">
        <v>1624.25</v>
      </c>
      <c r="D7" s="64">
        <v>1627</v>
      </c>
      <c r="E7" s="65">
        <v>0.99830977258758458</v>
      </c>
      <c r="F7" s="64">
        <v>-2.75</v>
      </c>
      <c r="G7" s="64">
        <v>1431.333333333333</v>
      </c>
      <c r="H7" s="64">
        <v>1113.5</v>
      </c>
      <c r="I7" s="65">
        <v>1.2854363119293519</v>
      </c>
      <c r="J7" s="64">
        <v>317.83333333333303</v>
      </c>
      <c r="K7" s="64">
        <v>1046.75</v>
      </c>
      <c r="L7" s="64">
        <v>1023</v>
      </c>
      <c r="M7" s="65">
        <v>1.0232160312805474</v>
      </c>
      <c r="N7" s="64">
        <v>23.75</v>
      </c>
      <c r="O7" s="64">
        <v>1353</v>
      </c>
      <c r="P7" s="64">
        <v>1023</v>
      </c>
      <c r="Q7" s="65">
        <v>1.3225806451612905</v>
      </c>
      <c r="R7" s="64">
        <v>330</v>
      </c>
      <c r="S7" s="86">
        <f t="shared" si="1"/>
        <v>5455.333333333333</v>
      </c>
      <c r="T7" s="86">
        <f t="shared" si="2"/>
        <v>4786.5</v>
      </c>
      <c r="U7" s="87">
        <f t="shared" si="3"/>
        <v>1.1397332776210871</v>
      </c>
      <c r="V7" s="86">
        <f t="shared" si="4"/>
        <v>668.83333333333303</v>
      </c>
    </row>
    <row r="8" spans="1:22">
      <c r="A8" t="str">
        <f t="shared" si="0"/>
        <v>109012</v>
      </c>
      <c r="B8" s="22" t="s">
        <v>22</v>
      </c>
      <c r="C8" s="64">
        <v>1119.6333333333332</v>
      </c>
      <c r="D8" s="64">
        <v>1119.13333333333</v>
      </c>
      <c r="E8" s="65">
        <v>1.0004467742896319</v>
      </c>
      <c r="F8" s="64">
        <v>0.50000000000318323</v>
      </c>
      <c r="G8" s="64">
        <v>946.25</v>
      </c>
      <c r="H8" s="64">
        <v>939.75</v>
      </c>
      <c r="I8" s="65">
        <v>1.0069167331737163</v>
      </c>
      <c r="J8" s="64">
        <v>6.5</v>
      </c>
      <c r="K8" s="64">
        <v>1012</v>
      </c>
      <c r="L8" s="64">
        <v>1023</v>
      </c>
      <c r="M8" s="65">
        <v>0.98924731182795689</v>
      </c>
      <c r="N8" s="64">
        <v>-11</v>
      </c>
      <c r="O8" s="64">
        <v>429</v>
      </c>
      <c r="P8" s="64">
        <v>341</v>
      </c>
      <c r="Q8" s="65">
        <v>1.2580645161290323</v>
      </c>
      <c r="R8" s="64">
        <v>88</v>
      </c>
      <c r="S8" s="86">
        <f t="shared" si="1"/>
        <v>3506.8833333333332</v>
      </c>
      <c r="T8" s="86">
        <f t="shared" si="2"/>
        <v>3422.88333333333</v>
      </c>
      <c r="U8" s="87">
        <f t="shared" si="3"/>
        <v>1.0245407137257585</v>
      </c>
      <c r="V8" s="86">
        <f t="shared" si="4"/>
        <v>84.000000000003183</v>
      </c>
    </row>
    <row r="9" spans="1:22">
      <c r="A9" t="str">
        <f t="shared" si="0"/>
        <v>127817</v>
      </c>
      <c r="B9" s="22" t="s">
        <v>23</v>
      </c>
      <c r="C9" s="64">
        <v>1453.8333333333333</v>
      </c>
      <c r="D9" s="64">
        <v>1501.18333333333</v>
      </c>
      <c r="E9" s="65">
        <v>0.96845821629603523</v>
      </c>
      <c r="F9" s="64">
        <v>-47.349999999996726</v>
      </c>
      <c r="G9" s="64">
        <v>788</v>
      </c>
      <c r="H9" s="64">
        <v>751</v>
      </c>
      <c r="I9" s="65">
        <v>1.0492676431424768</v>
      </c>
      <c r="J9" s="64">
        <v>37</v>
      </c>
      <c r="K9" s="64">
        <v>1328.75</v>
      </c>
      <c r="L9" s="64">
        <v>1364</v>
      </c>
      <c r="M9" s="65">
        <v>0.97415689149560125</v>
      </c>
      <c r="N9" s="64">
        <v>-35.25</v>
      </c>
      <c r="O9" s="64">
        <v>770</v>
      </c>
      <c r="P9" s="64">
        <v>682</v>
      </c>
      <c r="Q9" s="65">
        <v>1.129032258064516</v>
      </c>
      <c r="R9" s="64">
        <v>88</v>
      </c>
      <c r="S9" s="86">
        <f t="shared" si="1"/>
        <v>4340.583333333333</v>
      </c>
      <c r="T9" s="86">
        <f t="shared" si="2"/>
        <v>4298.1833333333298</v>
      </c>
      <c r="U9" s="87">
        <f t="shared" si="3"/>
        <v>1.0098646327324343</v>
      </c>
      <c r="V9" s="86">
        <f t="shared" si="4"/>
        <v>42.400000000003274</v>
      </c>
    </row>
    <row r="10" spans="1:22">
      <c r="A10" t="str">
        <f t="shared" si="0"/>
        <v>109005</v>
      </c>
      <c r="B10" s="22" t="s">
        <v>16</v>
      </c>
      <c r="C10" s="64">
        <v>1102.25</v>
      </c>
      <c r="D10" s="64">
        <v>1127.25</v>
      </c>
      <c r="E10" s="65">
        <v>0.97782213351075631</v>
      </c>
      <c r="F10" s="64">
        <v>-25</v>
      </c>
      <c r="G10" s="64">
        <v>1259.5</v>
      </c>
      <c r="H10" s="64">
        <v>1093.25</v>
      </c>
      <c r="I10" s="65">
        <v>1.1520695174937114</v>
      </c>
      <c r="J10" s="64">
        <v>166.25</v>
      </c>
      <c r="K10" s="64">
        <v>682.75</v>
      </c>
      <c r="L10" s="64">
        <v>682</v>
      </c>
      <c r="M10" s="65">
        <v>1.0010997067448679</v>
      </c>
      <c r="N10" s="64">
        <v>0.75</v>
      </c>
      <c r="O10" s="64">
        <v>1188</v>
      </c>
      <c r="P10" s="64">
        <v>682</v>
      </c>
      <c r="Q10" s="65">
        <v>1.7419354838709677</v>
      </c>
      <c r="R10" s="64">
        <v>506</v>
      </c>
      <c r="S10" s="86">
        <f t="shared" si="1"/>
        <v>4232.5</v>
      </c>
      <c r="T10" s="86">
        <f t="shared" si="2"/>
        <v>3584.5</v>
      </c>
      <c r="U10" s="87">
        <f t="shared" si="3"/>
        <v>1.1807783512344818</v>
      </c>
      <c r="V10" s="86">
        <f t="shared" si="4"/>
        <v>648</v>
      </c>
    </row>
    <row r="11" spans="1:22">
      <c r="A11" t="str">
        <f t="shared" si="0"/>
        <v>127811</v>
      </c>
      <c r="B11" s="22" t="s">
        <v>14</v>
      </c>
      <c r="C11" s="64">
        <v>805.91666666666663</v>
      </c>
      <c r="D11" s="64">
        <v>788.25</v>
      </c>
      <c r="E11" s="65">
        <v>1.0224125171794058</v>
      </c>
      <c r="F11" s="64">
        <v>17.666666666666629</v>
      </c>
      <c r="G11" s="64">
        <v>1419.25</v>
      </c>
      <c r="H11" s="64">
        <v>1497.5</v>
      </c>
      <c r="I11" s="65">
        <v>0.94774624373956595</v>
      </c>
      <c r="J11" s="64">
        <v>-78.25</v>
      </c>
      <c r="K11" s="64">
        <v>681.5</v>
      </c>
      <c r="L11" s="64">
        <v>682</v>
      </c>
      <c r="M11" s="65">
        <v>0.99926686217008809</v>
      </c>
      <c r="N11" s="64">
        <v>-0.5</v>
      </c>
      <c r="O11" s="64">
        <v>649</v>
      </c>
      <c r="P11" s="64">
        <v>682</v>
      </c>
      <c r="Q11" s="65">
        <v>0.95161290322580649</v>
      </c>
      <c r="R11" s="64">
        <v>-33</v>
      </c>
      <c r="S11" s="86">
        <f t="shared" si="1"/>
        <v>3555.6666666666665</v>
      </c>
      <c r="T11" s="86">
        <f t="shared" si="2"/>
        <v>3649.75</v>
      </c>
      <c r="U11" s="87">
        <f t="shared" si="3"/>
        <v>0.97422197867433835</v>
      </c>
      <c r="V11" s="86">
        <f t="shared" si="4"/>
        <v>-94.083333333333485</v>
      </c>
    </row>
    <row r="12" spans="1:22">
      <c r="A12" t="str">
        <f t="shared" si="0"/>
        <v>127807</v>
      </c>
      <c r="B12" s="22" t="s">
        <v>21</v>
      </c>
      <c r="C12" s="64">
        <v>1400.25</v>
      </c>
      <c r="D12" s="64">
        <v>1376.25</v>
      </c>
      <c r="E12" s="65">
        <v>1.0174386920980927</v>
      </c>
      <c r="F12" s="64">
        <v>24</v>
      </c>
      <c r="G12" s="64">
        <v>1767.75</v>
      </c>
      <c r="H12" s="64">
        <v>1099.75</v>
      </c>
      <c r="I12" s="65">
        <v>1.6074107751761766</v>
      </c>
      <c r="J12" s="64">
        <v>668</v>
      </c>
      <c r="K12" s="64">
        <v>1023</v>
      </c>
      <c r="L12" s="64">
        <v>1023</v>
      </c>
      <c r="M12" s="65">
        <v>1</v>
      </c>
      <c r="N12" s="64">
        <v>0</v>
      </c>
      <c r="O12" s="64">
        <v>1375</v>
      </c>
      <c r="P12" s="64">
        <v>682</v>
      </c>
      <c r="Q12" s="65">
        <v>2.0161290322580645</v>
      </c>
      <c r="R12" s="64">
        <v>693</v>
      </c>
      <c r="S12" s="86">
        <f t="shared" si="1"/>
        <v>5566</v>
      </c>
      <c r="T12" s="86">
        <f t="shared" si="2"/>
        <v>4181</v>
      </c>
      <c r="U12" s="87">
        <f t="shared" si="3"/>
        <v>1.3312604640038268</v>
      </c>
      <c r="V12" s="86">
        <f t="shared" si="4"/>
        <v>1385</v>
      </c>
    </row>
    <row r="13" spans="1:22">
      <c r="A13" t="str">
        <f t="shared" si="0"/>
        <v>127050</v>
      </c>
      <c r="B13" s="22" t="s">
        <v>24</v>
      </c>
      <c r="C13" s="64">
        <v>1478.25</v>
      </c>
      <c r="D13" s="64">
        <v>1491.5</v>
      </c>
      <c r="E13" s="65">
        <v>0.99111632584646325</v>
      </c>
      <c r="F13" s="64">
        <v>-13.25</v>
      </c>
      <c r="G13" s="64">
        <v>1753</v>
      </c>
      <c r="H13" s="64">
        <v>1880</v>
      </c>
      <c r="I13" s="65">
        <v>0.93244680851063833</v>
      </c>
      <c r="J13" s="64">
        <v>-127</v>
      </c>
      <c r="K13" s="64">
        <v>879.5</v>
      </c>
      <c r="L13" s="64">
        <v>682</v>
      </c>
      <c r="M13" s="65">
        <v>1.2895894428152492</v>
      </c>
      <c r="N13" s="64">
        <v>197.5</v>
      </c>
      <c r="O13" s="64">
        <v>1159.25</v>
      </c>
      <c r="P13" s="64">
        <v>1023</v>
      </c>
      <c r="Q13" s="65">
        <v>1.133186705767351</v>
      </c>
      <c r="R13" s="64">
        <v>136.25</v>
      </c>
      <c r="S13" s="86">
        <f t="shared" si="1"/>
        <v>5270</v>
      </c>
      <c r="T13" s="86">
        <f t="shared" si="2"/>
        <v>5076.5</v>
      </c>
      <c r="U13" s="87">
        <f t="shared" si="3"/>
        <v>1.0381168127647</v>
      </c>
      <c r="V13" s="86">
        <f t="shared" si="4"/>
        <v>193.5</v>
      </c>
    </row>
    <row r="14" spans="1:22">
      <c r="A14" t="str">
        <f t="shared" si="0"/>
        <v>127051</v>
      </c>
      <c r="B14" s="22" t="s">
        <v>25</v>
      </c>
      <c r="C14" s="64">
        <v>1391</v>
      </c>
      <c r="D14" s="64">
        <v>1549.25</v>
      </c>
      <c r="E14" s="66">
        <v>0.89785380022591577</v>
      </c>
      <c r="F14" s="64">
        <v>-158.25</v>
      </c>
      <c r="G14" s="64">
        <v>1880.5</v>
      </c>
      <c r="H14" s="64">
        <v>2075</v>
      </c>
      <c r="I14" s="65">
        <v>0.90626506024096387</v>
      </c>
      <c r="J14" s="64">
        <v>-194.5</v>
      </c>
      <c r="K14" s="64">
        <v>835.5</v>
      </c>
      <c r="L14" s="64">
        <v>682</v>
      </c>
      <c r="M14" s="65">
        <v>1.2250733137829914</v>
      </c>
      <c r="N14" s="64">
        <v>153.5</v>
      </c>
      <c r="O14" s="64">
        <v>1188</v>
      </c>
      <c r="P14" s="64">
        <v>1023</v>
      </c>
      <c r="Q14" s="65">
        <v>1.1612903225806452</v>
      </c>
      <c r="R14" s="64">
        <v>165</v>
      </c>
      <c r="S14" s="86">
        <f t="shared" si="1"/>
        <v>5295</v>
      </c>
      <c r="T14" s="86">
        <f t="shared" si="2"/>
        <v>5329.25</v>
      </c>
      <c r="U14" s="87">
        <f t="shared" si="3"/>
        <v>0.99357320448468356</v>
      </c>
      <c r="V14" s="86">
        <f t="shared" si="4"/>
        <v>-34.25</v>
      </c>
    </row>
    <row r="15" spans="1:22" s="5" customFormat="1">
      <c r="A15"/>
      <c r="B15" s="67" t="s">
        <v>60</v>
      </c>
      <c r="C15" s="68">
        <v>19429.8</v>
      </c>
      <c r="D15" s="68">
        <v>19863.566666666658</v>
      </c>
      <c r="E15" s="69">
        <v>0.97816269988437832</v>
      </c>
      <c r="F15" s="68">
        <v>-433.76666666665915</v>
      </c>
      <c r="G15" s="68">
        <v>18848.083333333332</v>
      </c>
      <c r="H15" s="68">
        <v>17082.750000000004</v>
      </c>
      <c r="I15" s="70">
        <v>1.1033401140526746</v>
      </c>
      <c r="J15" s="68">
        <v>1765.3333333333285</v>
      </c>
      <c r="K15" s="68">
        <v>14280.5</v>
      </c>
      <c r="L15" s="68">
        <v>13959</v>
      </c>
      <c r="M15" s="69">
        <v>1.0230317357976932</v>
      </c>
      <c r="N15" s="68">
        <v>321.5</v>
      </c>
      <c r="O15" s="68">
        <v>14582.25</v>
      </c>
      <c r="P15" s="68">
        <v>11572.25</v>
      </c>
      <c r="Q15" s="69">
        <v>1.2601049925468253</v>
      </c>
      <c r="R15" s="68">
        <v>3010</v>
      </c>
      <c r="S15" s="88">
        <f t="shared" si="1"/>
        <v>67140.633333333331</v>
      </c>
      <c r="T15" s="88">
        <f t="shared" si="2"/>
        <v>62477.566666666658</v>
      </c>
      <c r="U15" s="89">
        <f t="shared" si="3"/>
        <v>1.0746358559632339</v>
      </c>
      <c r="V15" s="88">
        <f t="shared" si="4"/>
        <v>4663.066666666673</v>
      </c>
    </row>
    <row r="16" spans="1:22">
      <c r="A16" t="str">
        <f t="shared" si="0"/>
        <v>109007</v>
      </c>
      <c r="B16" s="22" t="s">
        <v>27</v>
      </c>
      <c r="C16" s="64">
        <v>1814.75</v>
      </c>
      <c r="D16" s="64">
        <v>1856</v>
      </c>
      <c r="E16" s="65">
        <v>0.97777478448275867</v>
      </c>
      <c r="F16" s="64">
        <v>-41.25</v>
      </c>
      <c r="G16" s="64">
        <v>349</v>
      </c>
      <c r="H16" s="64">
        <v>374</v>
      </c>
      <c r="I16" s="65">
        <v>0.93315508021390381</v>
      </c>
      <c r="J16" s="64">
        <v>-25</v>
      </c>
      <c r="K16" s="64">
        <v>1363.25</v>
      </c>
      <c r="L16" s="64">
        <v>1364</v>
      </c>
      <c r="M16" s="65">
        <v>0.99945014662756615</v>
      </c>
      <c r="N16" s="64">
        <v>-0.75</v>
      </c>
      <c r="O16" s="64">
        <v>352</v>
      </c>
      <c r="P16" s="64">
        <v>341</v>
      </c>
      <c r="Q16" s="65">
        <v>1.032258064516129</v>
      </c>
      <c r="R16" s="64">
        <v>11</v>
      </c>
      <c r="S16" s="86">
        <f t="shared" si="1"/>
        <v>3879</v>
      </c>
      <c r="T16" s="86">
        <f t="shared" si="2"/>
        <v>3935</v>
      </c>
      <c r="U16" s="87">
        <f t="shared" si="3"/>
        <v>0.98576874205844978</v>
      </c>
      <c r="V16" s="86">
        <f t="shared" si="4"/>
        <v>-56</v>
      </c>
    </row>
    <row r="17" spans="1:22">
      <c r="A17" t="str">
        <f t="shared" si="0"/>
        <v>101141</v>
      </c>
      <c r="B17" s="22" t="s">
        <v>30</v>
      </c>
      <c r="C17" s="64">
        <v>6198.6666666666661</v>
      </c>
      <c r="D17" s="64">
        <v>6086.7666666666664</v>
      </c>
      <c r="E17" s="65">
        <v>1.0183841448388034</v>
      </c>
      <c r="F17" s="64">
        <v>111.89999999999964</v>
      </c>
      <c r="G17" s="64">
        <v>511.75</v>
      </c>
      <c r="H17" s="64">
        <v>358</v>
      </c>
      <c r="I17" s="65">
        <v>1.4294692737430168</v>
      </c>
      <c r="J17" s="64">
        <v>153.75</v>
      </c>
      <c r="K17" s="64">
        <v>6259.75</v>
      </c>
      <c r="L17" s="64">
        <v>6077.3</v>
      </c>
      <c r="M17" s="65">
        <v>1.0300215556250309</v>
      </c>
      <c r="N17" s="64">
        <v>182.44999999999982</v>
      </c>
      <c r="O17" s="64">
        <v>460</v>
      </c>
      <c r="P17" s="64">
        <v>356.5</v>
      </c>
      <c r="Q17" s="65">
        <v>1.2903225806451615</v>
      </c>
      <c r="R17" s="64">
        <v>103.5</v>
      </c>
      <c r="S17" s="86">
        <f t="shared" si="1"/>
        <v>13430.166666666666</v>
      </c>
      <c r="T17" s="86">
        <f t="shared" si="2"/>
        <v>12878.566666666666</v>
      </c>
      <c r="U17" s="87">
        <f t="shared" si="3"/>
        <v>1.0428308533299513</v>
      </c>
      <c r="V17" s="86">
        <f t="shared" si="4"/>
        <v>551.60000000000036</v>
      </c>
    </row>
    <row r="18" spans="1:22">
      <c r="A18" t="str">
        <f t="shared" si="0"/>
        <v>101951</v>
      </c>
      <c r="B18" s="22" t="s">
        <v>29</v>
      </c>
      <c r="C18" s="64">
        <v>1372.75</v>
      </c>
      <c r="D18" s="64">
        <v>1444.75</v>
      </c>
      <c r="E18" s="65">
        <v>0.95016438830247452</v>
      </c>
      <c r="F18" s="64">
        <v>-72</v>
      </c>
      <c r="G18" s="64">
        <v>1139</v>
      </c>
      <c r="H18" s="64">
        <v>1120</v>
      </c>
      <c r="I18" s="65">
        <v>1.0169642857142858</v>
      </c>
      <c r="J18" s="64">
        <v>19</v>
      </c>
      <c r="K18" s="64">
        <v>1034</v>
      </c>
      <c r="L18" s="64">
        <v>1023</v>
      </c>
      <c r="M18" s="65">
        <v>1.010752688172043</v>
      </c>
      <c r="N18" s="64">
        <v>11</v>
      </c>
      <c r="O18" s="64">
        <v>465</v>
      </c>
      <c r="P18" s="64">
        <v>346</v>
      </c>
      <c r="Q18" s="65">
        <v>1.3439306358381504</v>
      </c>
      <c r="R18" s="64">
        <v>119</v>
      </c>
      <c r="S18" s="86">
        <f t="shared" si="1"/>
        <v>4010.75</v>
      </c>
      <c r="T18" s="86">
        <f t="shared" si="2"/>
        <v>3933.75</v>
      </c>
      <c r="U18" s="87">
        <f t="shared" si="3"/>
        <v>1.0195741976485542</v>
      </c>
      <c r="V18" s="86">
        <f t="shared" si="4"/>
        <v>77</v>
      </c>
    </row>
    <row r="19" spans="1:22">
      <c r="A19" t="str">
        <f t="shared" si="0"/>
        <v>101952</v>
      </c>
      <c r="B19" s="22" t="s">
        <v>28</v>
      </c>
      <c r="C19" s="64">
        <v>1426.75</v>
      </c>
      <c r="D19" s="64">
        <v>1461.25</v>
      </c>
      <c r="E19" s="65">
        <v>0.97639007698887947</v>
      </c>
      <c r="F19" s="64">
        <v>-34.5</v>
      </c>
      <c r="G19" s="64">
        <v>1389</v>
      </c>
      <c r="H19" s="64">
        <v>1150.75</v>
      </c>
      <c r="I19" s="65">
        <v>1.2070388876819467</v>
      </c>
      <c r="J19" s="64">
        <v>238.25</v>
      </c>
      <c r="K19" s="64">
        <v>1023</v>
      </c>
      <c r="L19" s="64">
        <v>1012</v>
      </c>
      <c r="M19" s="65">
        <v>1.0108695652173911</v>
      </c>
      <c r="N19" s="64">
        <v>11</v>
      </c>
      <c r="O19" s="64">
        <v>654.25</v>
      </c>
      <c r="P19" s="64">
        <v>341</v>
      </c>
      <c r="Q19" s="65">
        <v>1.9186217008797655</v>
      </c>
      <c r="R19" s="64">
        <v>313.25</v>
      </c>
      <c r="S19" s="86">
        <f t="shared" si="1"/>
        <v>4493</v>
      </c>
      <c r="T19" s="86">
        <f t="shared" si="2"/>
        <v>3965</v>
      </c>
      <c r="U19" s="87">
        <f t="shared" si="3"/>
        <v>1.1331651954602775</v>
      </c>
      <c r="V19" s="86">
        <f t="shared" si="4"/>
        <v>528</v>
      </c>
    </row>
    <row r="20" spans="1:22">
      <c r="A20" t="str">
        <f t="shared" si="0"/>
        <v>101953</v>
      </c>
      <c r="B20" s="22" t="s">
        <v>26</v>
      </c>
      <c r="C20" s="64">
        <v>1402.1666666666665</v>
      </c>
      <c r="D20" s="64">
        <v>1413</v>
      </c>
      <c r="E20" s="65">
        <v>0.99233309742863884</v>
      </c>
      <c r="F20" s="64">
        <v>-10.833333333333485</v>
      </c>
      <c r="G20" s="64">
        <v>1127.5</v>
      </c>
      <c r="H20" s="64">
        <v>1134</v>
      </c>
      <c r="I20" s="65">
        <v>0.99426807760141112</v>
      </c>
      <c r="J20" s="64">
        <v>-6.5</v>
      </c>
      <c r="K20" s="64">
        <v>1030</v>
      </c>
      <c r="L20" s="64">
        <v>1023</v>
      </c>
      <c r="M20" s="65">
        <v>1.0068426197458455</v>
      </c>
      <c r="N20" s="64">
        <v>7</v>
      </c>
      <c r="O20" s="64">
        <v>605.5</v>
      </c>
      <c r="P20" s="64">
        <v>572</v>
      </c>
      <c r="Q20" s="65">
        <v>1.0585664335664338</v>
      </c>
      <c r="R20" s="64">
        <v>33.5</v>
      </c>
      <c r="S20" s="86">
        <f t="shared" si="1"/>
        <v>4165.1666666666661</v>
      </c>
      <c r="T20" s="86">
        <f t="shared" si="2"/>
        <v>4142</v>
      </c>
      <c r="U20" s="87">
        <f t="shared" si="3"/>
        <v>1.0055931112184129</v>
      </c>
      <c r="V20" s="86">
        <f t="shared" si="4"/>
        <v>23.16666666666606</v>
      </c>
    </row>
    <row r="21" spans="1:22">
      <c r="A21" t="str">
        <f t="shared" si="0"/>
        <v>104008</v>
      </c>
      <c r="B21" s="22" t="s">
        <v>31</v>
      </c>
      <c r="C21" s="64">
        <v>2335.25</v>
      </c>
      <c r="D21" s="64">
        <v>2522.1666666666601</v>
      </c>
      <c r="E21" s="65">
        <v>0.92589043811537952</v>
      </c>
      <c r="F21" s="64">
        <v>-186.91666666666015</v>
      </c>
      <c r="G21" s="64">
        <v>1120.4166666666665</v>
      </c>
      <c r="H21" s="64">
        <v>1126.8333333333333</v>
      </c>
      <c r="I21" s="65">
        <v>0.99430557609821035</v>
      </c>
      <c r="J21" s="64">
        <v>-6.4166666666667425</v>
      </c>
      <c r="K21" s="64">
        <v>1903</v>
      </c>
      <c r="L21" s="64">
        <v>2046</v>
      </c>
      <c r="M21" s="65">
        <v>0.93010752688172049</v>
      </c>
      <c r="N21" s="64">
        <v>-143</v>
      </c>
      <c r="O21" s="64">
        <v>693</v>
      </c>
      <c r="P21" s="64">
        <v>682</v>
      </c>
      <c r="Q21" s="65">
        <v>1.0161290322580645</v>
      </c>
      <c r="R21" s="64">
        <v>11</v>
      </c>
      <c r="S21" s="86">
        <f t="shared" si="1"/>
        <v>6051.6666666666661</v>
      </c>
      <c r="T21" s="86">
        <f t="shared" si="2"/>
        <v>6376.9999999999927</v>
      </c>
      <c r="U21" s="87">
        <f t="shared" si="3"/>
        <v>0.94898332549265685</v>
      </c>
      <c r="V21" s="86">
        <f t="shared" si="4"/>
        <v>-325.33333333332666</v>
      </c>
    </row>
    <row r="22" spans="1:22">
      <c r="A22" t="str">
        <f t="shared" si="0"/>
        <v>104009</v>
      </c>
      <c r="B22" s="22" t="s">
        <v>32</v>
      </c>
      <c r="C22" s="64">
        <v>2397</v>
      </c>
      <c r="D22" s="64">
        <v>2632.74999999999</v>
      </c>
      <c r="E22" s="66">
        <v>0.91045484759282469</v>
      </c>
      <c r="F22" s="64">
        <v>-235.74999999999</v>
      </c>
      <c r="G22" s="64">
        <v>721.41666666666663</v>
      </c>
      <c r="H22" s="64">
        <v>753.74999999999932</v>
      </c>
      <c r="I22" s="65">
        <v>0.95710337202874596</v>
      </c>
      <c r="J22" s="64">
        <v>-32.333333333332689</v>
      </c>
      <c r="K22" s="64">
        <v>1562</v>
      </c>
      <c r="L22" s="64">
        <v>1694</v>
      </c>
      <c r="M22" s="65">
        <v>0.92207792207792216</v>
      </c>
      <c r="N22" s="64">
        <v>-132</v>
      </c>
      <c r="O22" s="64">
        <v>649</v>
      </c>
      <c r="P22" s="64">
        <v>671</v>
      </c>
      <c r="Q22" s="65">
        <v>0.96721311475409844</v>
      </c>
      <c r="R22" s="64">
        <v>-22</v>
      </c>
      <c r="S22" s="86">
        <f t="shared" si="1"/>
        <v>5329.4166666666661</v>
      </c>
      <c r="T22" s="86">
        <f t="shared" si="2"/>
        <v>5751.4999999999891</v>
      </c>
      <c r="U22" s="87">
        <f t="shared" si="3"/>
        <v>0.92661334724274991</v>
      </c>
      <c r="V22" s="86">
        <f t="shared" si="4"/>
        <v>-422.08333333332303</v>
      </c>
    </row>
    <row r="23" spans="1:22" s="5" customFormat="1">
      <c r="A23"/>
      <c r="B23" s="67" t="s">
        <v>268</v>
      </c>
      <c r="C23" s="68">
        <v>16947.333333333332</v>
      </c>
      <c r="D23" s="68">
        <v>17416.683333333316</v>
      </c>
      <c r="E23" s="69">
        <v>0.97305170042899569</v>
      </c>
      <c r="F23" s="68">
        <v>-469.34999999998399</v>
      </c>
      <c r="G23" s="68">
        <v>6358.083333333333</v>
      </c>
      <c r="H23" s="68">
        <v>6017.3333333333321</v>
      </c>
      <c r="I23" s="70">
        <v>1.0566280744515846</v>
      </c>
      <c r="J23" s="68">
        <v>340.75000000000091</v>
      </c>
      <c r="K23" s="68">
        <v>14175</v>
      </c>
      <c r="L23" s="68">
        <v>14239.3</v>
      </c>
      <c r="M23" s="69">
        <v>0.99548432858356806</v>
      </c>
      <c r="N23" s="68">
        <v>-64.299999999999272</v>
      </c>
      <c r="O23" s="68">
        <v>3878.75</v>
      </c>
      <c r="P23" s="68">
        <v>3309.5</v>
      </c>
      <c r="Q23" s="69">
        <v>1.1720048345671552</v>
      </c>
      <c r="R23" s="68">
        <v>569.25</v>
      </c>
      <c r="S23" s="88">
        <f t="shared" si="1"/>
        <v>41359.166666666664</v>
      </c>
      <c r="T23" s="88">
        <f t="shared" si="2"/>
        <v>40982.816666666651</v>
      </c>
      <c r="U23" s="89">
        <f t="shared" si="3"/>
        <v>1.0091831169892751</v>
      </c>
      <c r="V23" s="88">
        <f t="shared" si="4"/>
        <v>376.3500000000131</v>
      </c>
    </row>
    <row r="24" spans="1:22">
      <c r="A24" t="str">
        <f t="shared" si="0"/>
        <v>103101</v>
      </c>
      <c r="B24" s="22" t="s">
        <v>271</v>
      </c>
      <c r="C24" s="64">
        <v>1453.75</v>
      </c>
      <c r="D24" s="64">
        <v>1556</v>
      </c>
      <c r="E24" s="65">
        <v>0.9342866323907455</v>
      </c>
      <c r="F24" s="64">
        <v>-102.25</v>
      </c>
      <c r="G24" s="64">
        <v>767</v>
      </c>
      <c r="H24" s="64">
        <v>1148.5</v>
      </c>
      <c r="I24" s="65">
        <v>0.66782760121898133</v>
      </c>
      <c r="J24" s="64">
        <v>-381.5</v>
      </c>
      <c r="K24" s="64">
        <v>704</v>
      </c>
      <c r="L24" s="64">
        <v>682</v>
      </c>
      <c r="M24" s="65">
        <v>1.032258064516129</v>
      </c>
      <c r="N24" s="64">
        <v>22</v>
      </c>
      <c r="O24" s="64">
        <v>55</v>
      </c>
      <c r="P24" s="64">
        <v>0</v>
      </c>
      <c r="Q24" s="65">
        <v>1</v>
      </c>
      <c r="R24" s="64">
        <v>55</v>
      </c>
      <c r="S24" s="86">
        <f t="shared" si="1"/>
        <v>2979.75</v>
      </c>
      <c r="T24" s="86">
        <f t="shared" si="2"/>
        <v>3386.5</v>
      </c>
      <c r="U24" s="87">
        <f t="shared" si="3"/>
        <v>0.87989074265465816</v>
      </c>
      <c r="V24" s="86">
        <f t="shared" si="4"/>
        <v>-406.75</v>
      </c>
    </row>
    <row r="25" spans="1:22">
      <c r="A25" t="str">
        <f t="shared" si="0"/>
        <v>101107</v>
      </c>
      <c r="B25" s="22" t="s">
        <v>49</v>
      </c>
      <c r="C25" s="64">
        <v>6623.25</v>
      </c>
      <c r="D25" s="64">
        <v>6707.1666666666697</v>
      </c>
      <c r="E25" s="65">
        <v>0.98748850731804239</v>
      </c>
      <c r="F25" s="64">
        <v>-83.916666666669698</v>
      </c>
      <c r="G25" s="64">
        <v>703.75</v>
      </c>
      <c r="H25" s="64">
        <v>741.75</v>
      </c>
      <c r="I25" s="65">
        <v>0.94876980114593867</v>
      </c>
      <c r="J25" s="64">
        <v>-38</v>
      </c>
      <c r="K25" s="64">
        <v>6020.5</v>
      </c>
      <c r="L25" s="64">
        <v>6128</v>
      </c>
      <c r="M25" s="65">
        <v>0.98245757180156656</v>
      </c>
      <c r="N25" s="64">
        <v>-107.5</v>
      </c>
      <c r="O25" s="64">
        <v>631</v>
      </c>
      <c r="P25" s="64">
        <v>682</v>
      </c>
      <c r="Q25" s="65">
        <v>0.92521994134897367</v>
      </c>
      <c r="R25" s="64">
        <v>-51</v>
      </c>
      <c r="S25" s="86">
        <f t="shared" si="1"/>
        <v>13978.5</v>
      </c>
      <c r="T25" s="86">
        <f t="shared" si="2"/>
        <v>14258.91666666667</v>
      </c>
      <c r="U25" s="87">
        <f t="shared" si="3"/>
        <v>0.98033394308824284</v>
      </c>
      <c r="V25" s="86">
        <f t="shared" si="4"/>
        <v>-280.4166666666697</v>
      </c>
    </row>
    <row r="26" spans="1:22">
      <c r="A26" t="str">
        <f t="shared" si="0"/>
        <v>101179</v>
      </c>
      <c r="B26" s="22" t="s">
        <v>53</v>
      </c>
      <c r="C26" s="64">
        <v>1053.75</v>
      </c>
      <c r="D26" s="64">
        <v>1076.25</v>
      </c>
      <c r="E26" s="65">
        <v>0.97909407665505233</v>
      </c>
      <c r="F26" s="64">
        <v>-22.5</v>
      </c>
      <c r="G26" s="64">
        <v>981.75</v>
      </c>
      <c r="H26" s="64">
        <v>1236</v>
      </c>
      <c r="I26" s="65">
        <v>0.79429611650485443</v>
      </c>
      <c r="J26" s="64">
        <v>-254.25</v>
      </c>
      <c r="K26" s="64">
        <v>701.5</v>
      </c>
      <c r="L26" s="64">
        <v>713</v>
      </c>
      <c r="M26" s="65">
        <v>0.9838709677419355</v>
      </c>
      <c r="N26" s="64">
        <v>-11.5</v>
      </c>
      <c r="O26" s="64">
        <v>855.5</v>
      </c>
      <c r="P26" s="64">
        <v>1064.75</v>
      </c>
      <c r="Q26" s="65">
        <v>0.8034749941300775</v>
      </c>
      <c r="R26" s="64">
        <v>-209.25</v>
      </c>
      <c r="S26" s="86">
        <f t="shared" si="1"/>
        <v>3592.5</v>
      </c>
      <c r="T26" s="86">
        <f t="shared" si="2"/>
        <v>4090</v>
      </c>
      <c r="U26" s="87">
        <f t="shared" si="3"/>
        <v>0.878361858190709</v>
      </c>
      <c r="V26" s="86">
        <f t="shared" si="4"/>
        <v>-497.5</v>
      </c>
    </row>
    <row r="27" spans="1:22">
      <c r="A27" t="str">
        <f t="shared" si="0"/>
        <v>101192</v>
      </c>
      <c r="B27" s="22" t="s">
        <v>51</v>
      </c>
      <c r="C27" s="64">
        <v>1407.25</v>
      </c>
      <c r="D27" s="64">
        <v>1426.5</v>
      </c>
      <c r="E27" s="65">
        <v>0.98650543287767267</v>
      </c>
      <c r="F27" s="64">
        <v>-19.25</v>
      </c>
      <c r="G27" s="64">
        <v>1054.9166666666667</v>
      </c>
      <c r="H27" s="64">
        <v>1077</v>
      </c>
      <c r="I27" s="65">
        <v>0.97949551222531728</v>
      </c>
      <c r="J27" s="64">
        <v>-22.083333333333258</v>
      </c>
      <c r="K27" s="64">
        <v>977.16666666666663</v>
      </c>
      <c r="L27" s="64">
        <v>966</v>
      </c>
      <c r="M27" s="65">
        <v>1.011559696342305</v>
      </c>
      <c r="N27" s="64">
        <v>11.166666666666629</v>
      </c>
      <c r="O27" s="64">
        <v>734.5</v>
      </c>
      <c r="P27" s="64">
        <v>713</v>
      </c>
      <c r="Q27" s="65">
        <v>1.0301542776998598</v>
      </c>
      <c r="R27" s="64">
        <v>21.5</v>
      </c>
      <c r="S27" s="86">
        <f t="shared" si="1"/>
        <v>4173.833333333333</v>
      </c>
      <c r="T27" s="86">
        <f t="shared" si="2"/>
        <v>4182.5</v>
      </c>
      <c r="U27" s="87">
        <f t="shared" si="3"/>
        <v>0.99792787407850159</v>
      </c>
      <c r="V27" s="86">
        <f t="shared" si="4"/>
        <v>-8.6666666666669698</v>
      </c>
    </row>
    <row r="28" spans="1:22">
      <c r="A28" t="str">
        <f t="shared" si="0"/>
        <v>101193</v>
      </c>
      <c r="B28" s="22" t="s">
        <v>52</v>
      </c>
      <c r="C28" s="64">
        <v>1962.5</v>
      </c>
      <c r="D28" s="64">
        <v>2040</v>
      </c>
      <c r="E28" s="65">
        <v>0.96200980392156865</v>
      </c>
      <c r="F28" s="64">
        <v>-77.5</v>
      </c>
      <c r="G28" s="64">
        <v>1083</v>
      </c>
      <c r="H28" s="64">
        <v>1073.5</v>
      </c>
      <c r="I28" s="65">
        <v>1.0088495575221239</v>
      </c>
      <c r="J28" s="64">
        <v>9.5</v>
      </c>
      <c r="K28" s="64">
        <v>1413.4166666666665</v>
      </c>
      <c r="L28" s="64">
        <v>1426</v>
      </c>
      <c r="M28" s="65">
        <v>0.99117578307620391</v>
      </c>
      <c r="N28" s="64">
        <v>-12.583333333333485</v>
      </c>
      <c r="O28" s="64">
        <v>708.16666666666663</v>
      </c>
      <c r="P28" s="64">
        <v>713</v>
      </c>
      <c r="Q28" s="65">
        <v>0.99322113136979906</v>
      </c>
      <c r="R28" s="64">
        <v>-4.8333333333333712</v>
      </c>
      <c r="S28" s="86">
        <f t="shared" si="1"/>
        <v>5167.083333333333</v>
      </c>
      <c r="T28" s="86">
        <f t="shared" si="2"/>
        <v>5252.5</v>
      </c>
      <c r="U28" s="87">
        <f t="shared" si="3"/>
        <v>0.98373790258607008</v>
      </c>
      <c r="V28" s="86">
        <f t="shared" si="4"/>
        <v>-85.41666666666697</v>
      </c>
    </row>
    <row r="29" spans="1:22">
      <c r="A29" t="str">
        <f t="shared" si="0"/>
        <v>101189</v>
      </c>
      <c r="B29" s="22" t="s">
        <v>48</v>
      </c>
      <c r="C29" s="64">
        <v>2284</v>
      </c>
      <c r="D29" s="64">
        <v>2275.75</v>
      </c>
      <c r="E29" s="65">
        <v>1.0036251785125783</v>
      </c>
      <c r="F29" s="64">
        <v>8.25</v>
      </c>
      <c r="G29" s="64">
        <v>1311</v>
      </c>
      <c r="H29" s="64">
        <v>1270.5</v>
      </c>
      <c r="I29" s="65">
        <v>1.0318772136953955</v>
      </c>
      <c r="J29" s="64">
        <v>40.5</v>
      </c>
      <c r="K29" s="64">
        <v>1805.5</v>
      </c>
      <c r="L29" s="64">
        <v>1782.5</v>
      </c>
      <c r="M29" s="65">
        <v>1.0129032258064516</v>
      </c>
      <c r="N29" s="64">
        <v>23</v>
      </c>
      <c r="O29" s="64">
        <v>1506.5</v>
      </c>
      <c r="P29" s="64">
        <v>1426</v>
      </c>
      <c r="Q29" s="65">
        <v>1.056451612903226</v>
      </c>
      <c r="R29" s="64">
        <v>80.5</v>
      </c>
      <c r="S29" s="86">
        <f t="shared" si="1"/>
        <v>6907</v>
      </c>
      <c r="T29" s="86">
        <f t="shared" si="2"/>
        <v>6754.75</v>
      </c>
      <c r="U29" s="87">
        <f t="shared" si="3"/>
        <v>1.022539694289204</v>
      </c>
      <c r="V29" s="86">
        <f t="shared" si="4"/>
        <v>152.25</v>
      </c>
    </row>
    <row r="30" spans="1:22">
      <c r="A30" t="str">
        <f t="shared" si="0"/>
        <v>101190</v>
      </c>
      <c r="B30" s="22" t="s">
        <v>50</v>
      </c>
      <c r="C30" s="64">
        <v>2138</v>
      </c>
      <c r="D30" s="64">
        <v>2143</v>
      </c>
      <c r="E30" s="65">
        <v>0.99766682221185254</v>
      </c>
      <c r="F30" s="64">
        <v>-5</v>
      </c>
      <c r="G30" s="64">
        <v>1436</v>
      </c>
      <c r="H30" s="64">
        <v>1441</v>
      </c>
      <c r="I30" s="65">
        <v>0.99653018736988208</v>
      </c>
      <c r="J30" s="64">
        <v>-5</v>
      </c>
      <c r="K30" s="64">
        <v>1769.5</v>
      </c>
      <c r="L30" s="64">
        <v>1754.5</v>
      </c>
      <c r="M30" s="65">
        <v>1.0085494442861214</v>
      </c>
      <c r="N30" s="64">
        <v>15</v>
      </c>
      <c r="O30" s="64">
        <v>1435.5</v>
      </c>
      <c r="P30" s="64">
        <v>1368</v>
      </c>
      <c r="Q30" s="65">
        <v>1.049342105263158</v>
      </c>
      <c r="R30" s="64">
        <v>67.5</v>
      </c>
      <c r="S30" s="86">
        <f t="shared" si="1"/>
        <v>6779</v>
      </c>
      <c r="T30" s="86">
        <f t="shared" si="2"/>
        <v>6706.5</v>
      </c>
      <c r="U30" s="87">
        <f t="shared" si="3"/>
        <v>1.0108104078133155</v>
      </c>
      <c r="V30" s="86">
        <f t="shared" si="4"/>
        <v>72.5</v>
      </c>
    </row>
    <row r="31" spans="1:22" s="5" customFormat="1">
      <c r="A31"/>
      <c r="B31" s="67" t="s">
        <v>62</v>
      </c>
      <c r="C31" s="68">
        <v>16922.5</v>
      </c>
      <c r="D31" s="68">
        <v>17224.666666666672</v>
      </c>
      <c r="E31" s="69">
        <v>0.98245732863722546</v>
      </c>
      <c r="F31" s="68">
        <v>-302.16666666667152</v>
      </c>
      <c r="G31" s="68">
        <v>7337.416666666667</v>
      </c>
      <c r="H31" s="68">
        <v>7988.25</v>
      </c>
      <c r="I31" s="70">
        <v>0.91852616864352854</v>
      </c>
      <c r="J31" s="68">
        <v>-650.83333333333303</v>
      </c>
      <c r="K31" s="68">
        <v>13391.583333333332</v>
      </c>
      <c r="L31" s="68">
        <v>13452</v>
      </c>
      <c r="M31" s="69">
        <v>0.99550872237089894</v>
      </c>
      <c r="N31" s="68">
        <v>-60.416666666667879</v>
      </c>
      <c r="O31" s="68">
        <v>5926.1666666666661</v>
      </c>
      <c r="P31" s="68">
        <v>5966.75</v>
      </c>
      <c r="Q31" s="69">
        <v>0.99319841901649408</v>
      </c>
      <c r="R31" s="68">
        <v>-40.58333333333394</v>
      </c>
      <c r="S31" s="88">
        <f t="shared" si="1"/>
        <v>43577.666666666672</v>
      </c>
      <c r="T31" s="88">
        <f t="shared" si="2"/>
        <v>44631.666666666672</v>
      </c>
      <c r="U31" s="89">
        <f t="shared" si="3"/>
        <v>0.97638448037641434</v>
      </c>
      <c r="V31" s="88">
        <f t="shared" si="4"/>
        <v>-1054</v>
      </c>
    </row>
    <row r="32" spans="1:22">
      <c r="A32" t="str">
        <f t="shared" si="0"/>
        <v>102043</v>
      </c>
      <c r="B32" s="22" t="s">
        <v>40</v>
      </c>
      <c r="C32" s="64">
        <v>5321.6</v>
      </c>
      <c r="D32" s="64">
        <v>6846</v>
      </c>
      <c r="E32" s="66">
        <v>0.7773298276365761</v>
      </c>
      <c r="F32" s="64">
        <v>-1524.3999999999996</v>
      </c>
      <c r="G32" s="64">
        <v>66</v>
      </c>
      <c r="H32" s="64">
        <v>360</v>
      </c>
      <c r="I32" s="65">
        <v>0.18333333333333335</v>
      </c>
      <c r="J32" s="64">
        <v>-294</v>
      </c>
      <c r="K32" s="64">
        <v>5151</v>
      </c>
      <c r="L32" s="64">
        <v>6773.5</v>
      </c>
      <c r="M32" s="66">
        <v>0.76046357127039199</v>
      </c>
      <c r="N32" s="64">
        <v>-1622.5</v>
      </c>
      <c r="O32" s="64">
        <v>161</v>
      </c>
      <c r="P32" s="64">
        <v>356.5</v>
      </c>
      <c r="Q32" s="65">
        <v>0.45161290322580649</v>
      </c>
      <c r="R32" s="64">
        <v>-195.5</v>
      </c>
      <c r="S32" s="86">
        <f t="shared" si="1"/>
        <v>10699.6</v>
      </c>
      <c r="T32" s="86">
        <f t="shared" si="2"/>
        <v>14336</v>
      </c>
      <c r="U32" s="87">
        <f t="shared" si="3"/>
        <v>0.74634486607142858</v>
      </c>
      <c r="V32" s="86">
        <f t="shared" si="4"/>
        <v>-3636.3999999999996</v>
      </c>
    </row>
    <row r="33" spans="1:22">
      <c r="A33" t="str">
        <f t="shared" si="0"/>
        <v>102251</v>
      </c>
      <c r="B33" s="22" t="s">
        <v>35</v>
      </c>
      <c r="C33" s="64">
        <v>3646.9166666666665</v>
      </c>
      <c r="D33" s="64">
        <v>4101.25</v>
      </c>
      <c r="E33" s="66">
        <v>0.88922076602661793</v>
      </c>
      <c r="F33" s="64">
        <v>-454.33333333333348</v>
      </c>
      <c r="G33" s="64">
        <v>387</v>
      </c>
      <c r="H33" s="64">
        <v>358.5</v>
      </c>
      <c r="I33" s="65">
        <v>1.0794979079497908</v>
      </c>
      <c r="J33" s="64">
        <v>28.5</v>
      </c>
      <c r="K33" s="64">
        <v>3386.25</v>
      </c>
      <c r="L33" s="64">
        <v>4025</v>
      </c>
      <c r="M33" s="66">
        <v>0.84130434782608698</v>
      </c>
      <c r="N33" s="64">
        <v>-638.75</v>
      </c>
      <c r="O33" s="64">
        <v>506.16666666666669</v>
      </c>
      <c r="P33" s="64">
        <v>356.5</v>
      </c>
      <c r="Q33" s="65">
        <v>1.4198223468910707</v>
      </c>
      <c r="R33" s="64">
        <v>149.66666666666669</v>
      </c>
      <c r="S33" s="86">
        <f t="shared" si="1"/>
        <v>7926.3333333333321</v>
      </c>
      <c r="T33" s="86">
        <f t="shared" si="2"/>
        <v>8841.25</v>
      </c>
      <c r="U33" s="87">
        <f t="shared" si="3"/>
        <v>0.89651727225599687</v>
      </c>
      <c r="V33" s="86">
        <f t="shared" si="4"/>
        <v>-914.91666666666788</v>
      </c>
    </row>
    <row r="34" spans="1:22">
      <c r="A34" t="str">
        <f t="shared" si="0"/>
        <v>102041</v>
      </c>
      <c r="B34" s="22" t="s">
        <v>37</v>
      </c>
      <c r="C34" s="64">
        <v>2337</v>
      </c>
      <c r="D34" s="64">
        <v>2332.5</v>
      </c>
      <c r="E34" s="66">
        <v>1.0019292604501608</v>
      </c>
      <c r="F34" s="64">
        <v>4.5</v>
      </c>
      <c r="G34" s="64">
        <v>376.5</v>
      </c>
      <c r="H34" s="64">
        <v>357</v>
      </c>
      <c r="I34" s="65">
        <v>1.0546218487394958</v>
      </c>
      <c r="J34" s="64">
        <v>19.5</v>
      </c>
      <c r="K34" s="64">
        <v>1686</v>
      </c>
      <c r="L34" s="64">
        <v>1644.5</v>
      </c>
      <c r="M34" s="66">
        <v>1.025235633931286</v>
      </c>
      <c r="N34" s="64">
        <v>41.5</v>
      </c>
      <c r="O34" s="64">
        <v>391</v>
      </c>
      <c r="P34" s="64">
        <v>356.5</v>
      </c>
      <c r="Q34" s="65">
        <v>1.0967741935483872</v>
      </c>
      <c r="R34" s="64">
        <v>34.5</v>
      </c>
      <c r="S34" s="86">
        <f t="shared" si="1"/>
        <v>4790.5</v>
      </c>
      <c r="T34" s="86">
        <f t="shared" si="2"/>
        <v>4690.5</v>
      </c>
      <c r="U34" s="87">
        <f t="shared" si="3"/>
        <v>1.0213196887325444</v>
      </c>
      <c r="V34" s="86">
        <f t="shared" si="4"/>
        <v>100</v>
      </c>
    </row>
    <row r="35" spans="1:22">
      <c r="A35" t="str">
        <f t="shared" si="0"/>
        <v>102033</v>
      </c>
      <c r="B35" s="22" t="s">
        <v>39</v>
      </c>
      <c r="C35" s="64">
        <v>1926.5</v>
      </c>
      <c r="D35" s="64">
        <v>2145.5</v>
      </c>
      <c r="E35" s="66">
        <v>0.89792589140060597</v>
      </c>
      <c r="F35" s="64">
        <v>-219</v>
      </c>
      <c r="G35" s="64">
        <v>437.5</v>
      </c>
      <c r="H35" s="64">
        <v>350.5</v>
      </c>
      <c r="I35" s="65">
        <v>1.2482168330955778</v>
      </c>
      <c r="J35" s="64">
        <v>87</v>
      </c>
      <c r="K35" s="64">
        <v>1554.5</v>
      </c>
      <c r="L35" s="64">
        <v>1782.5</v>
      </c>
      <c r="M35" s="66">
        <v>0.87208976157082752</v>
      </c>
      <c r="N35" s="64">
        <v>-228</v>
      </c>
      <c r="O35" s="64">
        <v>310.5</v>
      </c>
      <c r="P35" s="64">
        <v>356.5</v>
      </c>
      <c r="Q35" s="65">
        <v>0.87096774193548387</v>
      </c>
      <c r="R35" s="64">
        <v>-46</v>
      </c>
      <c r="S35" s="86">
        <f t="shared" si="1"/>
        <v>4229</v>
      </c>
      <c r="T35" s="86">
        <f t="shared" si="2"/>
        <v>4635</v>
      </c>
      <c r="U35" s="87">
        <f t="shared" si="3"/>
        <v>0.9124056094929881</v>
      </c>
      <c r="V35" s="86">
        <f t="shared" si="4"/>
        <v>-406</v>
      </c>
    </row>
    <row r="36" spans="1:22">
      <c r="A36" t="str">
        <f t="shared" si="0"/>
        <v>102262</v>
      </c>
      <c r="B36" s="22" t="s">
        <v>38</v>
      </c>
      <c r="C36" s="64">
        <v>1648.25</v>
      </c>
      <c r="D36" s="64">
        <v>1783</v>
      </c>
      <c r="E36" s="65">
        <v>0.92442512619181161</v>
      </c>
      <c r="F36" s="64">
        <v>-134.75</v>
      </c>
      <c r="G36" s="64">
        <v>254.5</v>
      </c>
      <c r="H36" s="64">
        <v>356.5</v>
      </c>
      <c r="I36" s="65">
        <v>0.7138849929873774</v>
      </c>
      <c r="J36" s="64">
        <v>-102</v>
      </c>
      <c r="K36" s="64">
        <v>1469</v>
      </c>
      <c r="L36" s="64">
        <v>1779</v>
      </c>
      <c r="M36" s="66">
        <v>0.8257448004496909</v>
      </c>
      <c r="N36" s="64">
        <v>-310</v>
      </c>
      <c r="O36" s="64">
        <v>313.5</v>
      </c>
      <c r="P36" s="64">
        <v>354.51666666666699</v>
      </c>
      <c r="Q36" s="65">
        <v>0.88430257157632364</v>
      </c>
      <c r="R36" s="64">
        <v>-41.016666666666993</v>
      </c>
      <c r="S36" s="86">
        <f t="shared" si="1"/>
        <v>3685.25</v>
      </c>
      <c r="T36" s="86">
        <f t="shared" si="2"/>
        <v>4273.0166666666664</v>
      </c>
      <c r="U36" s="87">
        <f t="shared" si="3"/>
        <v>0.8624469051918825</v>
      </c>
      <c r="V36" s="86">
        <f t="shared" si="4"/>
        <v>-587.76666666666642</v>
      </c>
    </row>
    <row r="37" spans="1:22">
      <c r="A37" t="str">
        <f t="shared" si="0"/>
        <v>102260</v>
      </c>
      <c r="B37" s="22" t="s">
        <v>36</v>
      </c>
      <c r="C37" s="64">
        <v>2350.25</v>
      </c>
      <c r="D37" s="64">
        <v>2501</v>
      </c>
      <c r="E37" s="65">
        <v>0.93972411035585768</v>
      </c>
      <c r="F37" s="64">
        <v>-150.75</v>
      </c>
      <c r="G37" s="64">
        <v>314.5</v>
      </c>
      <c r="H37" s="64">
        <v>362.5</v>
      </c>
      <c r="I37" s="65">
        <v>0.86758620689655175</v>
      </c>
      <c r="J37" s="64">
        <v>-48</v>
      </c>
      <c r="K37" s="64">
        <v>1910</v>
      </c>
      <c r="L37" s="64">
        <v>2047</v>
      </c>
      <c r="M37" s="65">
        <v>0.93307278944797267</v>
      </c>
      <c r="N37" s="64">
        <v>-137</v>
      </c>
      <c r="O37" s="64">
        <v>303.5</v>
      </c>
      <c r="P37" s="64">
        <v>356.5</v>
      </c>
      <c r="Q37" s="65">
        <v>0.8513323983169705</v>
      </c>
      <c r="R37" s="64">
        <v>-53</v>
      </c>
      <c r="S37" s="86">
        <f t="shared" si="1"/>
        <v>4878.25</v>
      </c>
      <c r="T37" s="86">
        <f t="shared" si="2"/>
        <v>5267</v>
      </c>
      <c r="U37" s="87">
        <f t="shared" si="3"/>
        <v>0.92619138029238657</v>
      </c>
      <c r="V37" s="86">
        <f t="shared" si="4"/>
        <v>-388.75</v>
      </c>
    </row>
    <row r="38" spans="1:22">
      <c r="A38" t="str">
        <f t="shared" si="0"/>
        <v>102034</v>
      </c>
      <c r="B38" s="22" t="s">
        <v>33</v>
      </c>
      <c r="C38" s="64">
        <v>1430.5</v>
      </c>
      <c r="D38" s="64">
        <v>1419.5</v>
      </c>
      <c r="E38" s="65">
        <v>1.0077492074674181</v>
      </c>
      <c r="F38" s="64">
        <v>11</v>
      </c>
      <c r="G38" s="64">
        <v>534.5</v>
      </c>
      <c r="H38" s="64">
        <v>350</v>
      </c>
      <c r="I38" s="65">
        <v>1.5271428571428571</v>
      </c>
      <c r="J38" s="64">
        <v>184.5</v>
      </c>
      <c r="K38" s="64">
        <v>1396.9</v>
      </c>
      <c r="L38" s="64">
        <v>1414.5</v>
      </c>
      <c r="M38" s="65">
        <v>0.9875574407917993</v>
      </c>
      <c r="N38" s="64">
        <v>-17.599999999999909</v>
      </c>
      <c r="O38" s="64">
        <v>460</v>
      </c>
      <c r="P38" s="64">
        <v>356.5</v>
      </c>
      <c r="Q38" s="65">
        <v>1.2903225806451615</v>
      </c>
      <c r="R38" s="64">
        <v>103.5</v>
      </c>
      <c r="S38" s="86">
        <f t="shared" si="1"/>
        <v>3821.9</v>
      </c>
      <c r="T38" s="86">
        <f t="shared" si="2"/>
        <v>3540.5</v>
      </c>
      <c r="U38" s="87">
        <f t="shared" si="3"/>
        <v>1.0794802993927413</v>
      </c>
      <c r="V38" s="86">
        <f t="shared" si="4"/>
        <v>281.40000000000009</v>
      </c>
    </row>
    <row r="39" spans="1:22">
      <c r="A39" t="str">
        <f t="shared" si="0"/>
        <v>102240</v>
      </c>
      <c r="B39" s="22" t="s">
        <v>34</v>
      </c>
      <c r="C39" s="64">
        <v>1053.75</v>
      </c>
      <c r="D39" s="64">
        <v>1096</v>
      </c>
      <c r="E39" s="65">
        <v>0.96145072992700742</v>
      </c>
      <c r="F39" s="64">
        <v>-42.25</v>
      </c>
      <c r="G39" s="64">
        <v>40</v>
      </c>
      <c r="H39" s="64">
        <v>0</v>
      </c>
      <c r="I39" s="65">
        <v>1</v>
      </c>
      <c r="J39" s="64">
        <v>40</v>
      </c>
      <c r="K39" s="64">
        <v>1039.5</v>
      </c>
      <c r="L39" s="64">
        <v>1101.5</v>
      </c>
      <c r="M39" s="65">
        <v>0.94371311847480721</v>
      </c>
      <c r="N39" s="64">
        <v>-62</v>
      </c>
      <c r="O39" s="64">
        <v>0</v>
      </c>
      <c r="P39" s="64">
        <v>0</v>
      </c>
      <c r="Q39" s="65">
        <v>1</v>
      </c>
      <c r="R39" s="64">
        <v>0</v>
      </c>
      <c r="S39" s="86">
        <f t="shared" si="1"/>
        <v>2133.25</v>
      </c>
      <c r="T39" s="86">
        <f t="shared" si="2"/>
        <v>2197.5</v>
      </c>
      <c r="U39" s="87">
        <f t="shared" si="3"/>
        <v>0.97076222980659843</v>
      </c>
      <c r="V39" s="86">
        <f t="shared" si="4"/>
        <v>-64.25</v>
      </c>
    </row>
    <row r="40" spans="1:22">
      <c r="A40" t="str">
        <f t="shared" si="0"/>
        <v>102266</v>
      </c>
      <c r="B40" s="22" t="s">
        <v>41</v>
      </c>
      <c r="C40" s="64">
        <v>2145.6666666666665</v>
      </c>
      <c r="D40" s="64">
        <v>2376</v>
      </c>
      <c r="E40" s="65">
        <v>0.90305836139169471</v>
      </c>
      <c r="F40" s="64">
        <v>-230.33333333333348</v>
      </c>
      <c r="G40" s="64">
        <v>766.5</v>
      </c>
      <c r="H40" s="64">
        <v>721</v>
      </c>
      <c r="I40" s="65">
        <v>1.0631067961165048</v>
      </c>
      <c r="J40" s="64">
        <v>45.5</v>
      </c>
      <c r="K40" s="64">
        <v>2151</v>
      </c>
      <c r="L40" s="64">
        <v>2346</v>
      </c>
      <c r="M40" s="65">
        <v>0.91687979539641951</v>
      </c>
      <c r="N40" s="64">
        <v>-195</v>
      </c>
      <c r="O40" s="64">
        <v>607.5</v>
      </c>
      <c r="P40" s="64">
        <v>713</v>
      </c>
      <c r="Q40" s="65">
        <v>0.85203366058906038</v>
      </c>
      <c r="R40" s="64">
        <v>-105.5</v>
      </c>
      <c r="S40" s="86">
        <f t="shared" si="1"/>
        <v>5670.6666666666661</v>
      </c>
      <c r="T40" s="86">
        <f t="shared" si="2"/>
        <v>6156</v>
      </c>
      <c r="U40" s="87">
        <f t="shared" si="3"/>
        <v>0.92116092700888008</v>
      </c>
      <c r="V40" s="86">
        <f t="shared" si="4"/>
        <v>-485.33333333333394</v>
      </c>
    </row>
    <row r="41" spans="1:22" s="5" customFormat="1">
      <c r="A41"/>
      <c r="B41" s="67" t="s">
        <v>276</v>
      </c>
      <c r="C41" s="68">
        <v>21860.433333333334</v>
      </c>
      <c r="D41" s="68">
        <v>24600.75</v>
      </c>
      <c r="E41" s="69">
        <v>0.8886084096352076</v>
      </c>
      <c r="F41" s="68">
        <v>-2740.3166666666657</v>
      </c>
      <c r="G41" s="68">
        <v>3177</v>
      </c>
      <c r="H41" s="68">
        <v>3216</v>
      </c>
      <c r="I41" s="70">
        <v>0.98787313432835822</v>
      </c>
      <c r="J41" s="68">
        <v>-39</v>
      </c>
      <c r="K41" s="68">
        <v>19744.150000000001</v>
      </c>
      <c r="L41" s="68">
        <v>22913.5</v>
      </c>
      <c r="M41" s="69">
        <v>0.86168197787330625</v>
      </c>
      <c r="N41" s="68">
        <v>-3169.3499999999985</v>
      </c>
      <c r="O41" s="68">
        <v>3053.166666666667</v>
      </c>
      <c r="P41" s="68">
        <v>3206.5166666666669</v>
      </c>
      <c r="Q41" s="69">
        <v>0.95217551756579055</v>
      </c>
      <c r="R41" s="68">
        <v>-153.34999999999991</v>
      </c>
      <c r="S41" s="88">
        <f t="shared" si="1"/>
        <v>47834.75</v>
      </c>
      <c r="T41" s="88">
        <f t="shared" si="2"/>
        <v>53936.766666666663</v>
      </c>
      <c r="U41" s="89">
        <f t="shared" si="3"/>
        <v>0.88686721426262738</v>
      </c>
      <c r="V41" s="88">
        <f t="shared" si="4"/>
        <v>-6102.0166666666628</v>
      </c>
    </row>
    <row r="42" spans="1:22">
      <c r="A42" t="str">
        <f t="shared" si="0"/>
        <v>102177</v>
      </c>
      <c r="B42" s="22" t="s">
        <v>45</v>
      </c>
      <c r="C42" s="64">
        <v>696</v>
      </c>
      <c r="D42" s="64">
        <v>774</v>
      </c>
      <c r="E42" s="65">
        <v>0.89922480620155043</v>
      </c>
      <c r="F42" s="64">
        <v>-78</v>
      </c>
      <c r="G42" s="64">
        <v>0</v>
      </c>
      <c r="H42" s="64">
        <v>0</v>
      </c>
      <c r="I42" s="65">
        <v>1</v>
      </c>
      <c r="J42" s="64">
        <v>0</v>
      </c>
      <c r="K42" s="64">
        <v>720</v>
      </c>
      <c r="L42" s="64">
        <v>744</v>
      </c>
      <c r="M42" s="65">
        <v>0.967741935483871</v>
      </c>
      <c r="N42" s="64">
        <v>-24</v>
      </c>
      <c r="O42" s="64">
        <v>0</v>
      </c>
      <c r="P42" s="64">
        <v>0</v>
      </c>
      <c r="Q42" s="65">
        <v>1</v>
      </c>
      <c r="R42" s="64">
        <v>0</v>
      </c>
      <c r="S42" s="86">
        <f t="shared" si="1"/>
        <v>1416</v>
      </c>
      <c r="T42" s="86">
        <f t="shared" si="2"/>
        <v>1518</v>
      </c>
      <c r="U42" s="87">
        <f t="shared" si="3"/>
        <v>0.93280632411067199</v>
      </c>
      <c r="V42" s="86">
        <f t="shared" si="4"/>
        <v>-102</v>
      </c>
    </row>
    <row r="43" spans="1:22" s="72" customFormat="1">
      <c r="A43" t="str">
        <f t="shared" si="0"/>
        <v>102074</v>
      </c>
      <c r="B43" s="22" t="s">
        <v>44</v>
      </c>
      <c r="C43" s="64">
        <v>2409.25</v>
      </c>
      <c r="D43" s="64">
        <v>2638</v>
      </c>
      <c r="E43" s="65">
        <v>0.91328658074298719</v>
      </c>
      <c r="F43" s="64">
        <v>-228.75</v>
      </c>
      <c r="G43" s="64">
        <v>856.5</v>
      </c>
      <c r="H43" s="64">
        <v>1204.5</v>
      </c>
      <c r="I43" s="65">
        <v>0.71108343711083444</v>
      </c>
      <c r="J43" s="64">
        <v>-348</v>
      </c>
      <c r="K43" s="64">
        <v>2198</v>
      </c>
      <c r="L43" s="64">
        <v>2508</v>
      </c>
      <c r="M43" s="65">
        <v>0.87639553429027117</v>
      </c>
      <c r="N43" s="64">
        <v>-310</v>
      </c>
      <c r="O43" s="64">
        <v>594</v>
      </c>
      <c r="P43" s="64">
        <v>744</v>
      </c>
      <c r="Q43" s="65">
        <v>0.79838709677419362</v>
      </c>
      <c r="R43" s="64">
        <v>-150</v>
      </c>
      <c r="S43" s="86">
        <f t="shared" si="1"/>
        <v>6057.75</v>
      </c>
      <c r="T43" s="86">
        <f t="shared" si="2"/>
        <v>7094.5</v>
      </c>
      <c r="U43" s="87">
        <f t="shared" si="3"/>
        <v>0.8538656705898936</v>
      </c>
      <c r="V43" s="86">
        <f t="shared" si="4"/>
        <v>-1036.75</v>
      </c>
    </row>
    <row r="44" spans="1:22">
      <c r="A44" t="str">
        <f t="shared" si="0"/>
        <v>102077</v>
      </c>
      <c r="B44" s="22" t="s">
        <v>47</v>
      </c>
      <c r="C44" s="64">
        <v>5132.75</v>
      </c>
      <c r="D44" s="64">
        <v>5598.75</v>
      </c>
      <c r="E44" s="66">
        <v>0.91676713552132183</v>
      </c>
      <c r="F44" s="64">
        <v>-466</v>
      </c>
      <c r="G44" s="64">
        <v>506.5</v>
      </c>
      <c r="H44" s="64">
        <v>1085</v>
      </c>
      <c r="I44" s="65">
        <v>0.46682027649769586</v>
      </c>
      <c r="J44" s="64">
        <v>-578.5</v>
      </c>
      <c r="K44" s="64">
        <v>4979.75</v>
      </c>
      <c r="L44" s="64">
        <v>5461.5</v>
      </c>
      <c r="M44" s="65">
        <v>0.91179163233543892</v>
      </c>
      <c r="N44" s="64">
        <v>-481.75</v>
      </c>
      <c r="O44" s="64">
        <v>425.5</v>
      </c>
      <c r="P44" s="64">
        <v>1069.5</v>
      </c>
      <c r="Q44" s="65">
        <v>0.39784946236559143</v>
      </c>
      <c r="R44" s="64">
        <v>-644</v>
      </c>
      <c r="S44" s="86">
        <f t="shared" si="1"/>
        <v>11044.5</v>
      </c>
      <c r="T44" s="86">
        <f t="shared" si="2"/>
        <v>13214.75</v>
      </c>
      <c r="U44" s="87">
        <f t="shared" si="3"/>
        <v>0.8357706350857943</v>
      </c>
      <c r="V44" s="86">
        <f t="shared" si="4"/>
        <v>-2170.25</v>
      </c>
    </row>
    <row r="45" spans="1:22">
      <c r="A45" t="str">
        <f t="shared" si="0"/>
        <v>102068</v>
      </c>
      <c r="B45" s="22" t="s">
        <v>43</v>
      </c>
      <c r="C45" s="64">
        <v>3601.3</v>
      </c>
      <c r="D45" s="64">
        <v>3629.3</v>
      </c>
      <c r="E45" s="65">
        <v>0.99228501363899368</v>
      </c>
      <c r="F45" s="64">
        <v>-28</v>
      </c>
      <c r="G45" s="64">
        <v>480</v>
      </c>
      <c r="H45" s="64">
        <v>570</v>
      </c>
      <c r="I45" s="65">
        <v>0.84210526315789469</v>
      </c>
      <c r="J45" s="64">
        <v>-90</v>
      </c>
      <c r="K45" s="64">
        <v>3346.5</v>
      </c>
      <c r="L45" s="64">
        <v>3348</v>
      </c>
      <c r="M45" s="65">
        <v>0.99955197132616491</v>
      </c>
      <c r="N45" s="64">
        <v>-1.5</v>
      </c>
      <c r="O45" s="64">
        <v>456</v>
      </c>
      <c r="P45" s="64">
        <v>552</v>
      </c>
      <c r="Q45" s="65">
        <v>0.82608695652173925</v>
      </c>
      <c r="R45" s="64">
        <v>-96</v>
      </c>
      <c r="S45" s="86">
        <f t="shared" si="1"/>
        <v>7883.8</v>
      </c>
      <c r="T45" s="86">
        <f t="shared" si="2"/>
        <v>8099.3</v>
      </c>
      <c r="U45" s="87">
        <f t="shared" si="3"/>
        <v>0.97339276233748595</v>
      </c>
      <c r="V45" s="86">
        <f t="shared" si="4"/>
        <v>-215.5</v>
      </c>
    </row>
    <row r="46" spans="1:22">
      <c r="A46" t="str">
        <f t="shared" si="0"/>
        <v>102075</v>
      </c>
      <c r="B46" s="22" t="s">
        <v>42</v>
      </c>
      <c r="C46" s="64">
        <v>1090</v>
      </c>
      <c r="D46" s="64">
        <v>1096</v>
      </c>
      <c r="E46" s="65">
        <v>0.99452554744525545</v>
      </c>
      <c r="F46" s="64">
        <v>-6</v>
      </c>
      <c r="G46" s="64">
        <v>373.5</v>
      </c>
      <c r="H46" s="64">
        <v>387</v>
      </c>
      <c r="I46" s="65">
        <v>0.96511627906976749</v>
      </c>
      <c r="J46" s="64">
        <v>-13.5</v>
      </c>
      <c r="K46" s="64">
        <v>729</v>
      </c>
      <c r="L46" s="64">
        <v>728.5</v>
      </c>
      <c r="M46" s="65">
        <v>1.0006863417982157</v>
      </c>
      <c r="N46" s="64">
        <v>0.5</v>
      </c>
      <c r="O46" s="64">
        <v>468</v>
      </c>
      <c r="P46" s="64">
        <v>384</v>
      </c>
      <c r="Q46" s="65">
        <v>1.21875</v>
      </c>
      <c r="R46" s="64">
        <v>84</v>
      </c>
      <c r="S46" s="86">
        <f t="shared" si="1"/>
        <v>2660.5</v>
      </c>
      <c r="T46" s="86">
        <f t="shared" si="2"/>
        <v>2595.5</v>
      </c>
      <c r="U46" s="87">
        <f t="shared" si="3"/>
        <v>1.0250433442496629</v>
      </c>
      <c r="V46" s="86">
        <f t="shared" si="4"/>
        <v>65</v>
      </c>
    </row>
    <row r="47" spans="1:22" s="5" customFormat="1">
      <c r="A47" t="str">
        <f t="shared" si="0"/>
        <v>102078</v>
      </c>
      <c r="B47" s="22" t="s">
        <v>46</v>
      </c>
      <c r="C47" s="64">
        <v>1095</v>
      </c>
      <c r="D47" s="64">
        <v>1269.75</v>
      </c>
      <c r="E47" s="65">
        <v>0.86237448316597765</v>
      </c>
      <c r="F47" s="64">
        <v>-174.75</v>
      </c>
      <c r="G47" s="64">
        <v>909</v>
      </c>
      <c r="H47" s="64">
        <v>933.25</v>
      </c>
      <c r="I47" s="65">
        <v>0.97401553710152688</v>
      </c>
      <c r="J47" s="64">
        <v>-24.25</v>
      </c>
      <c r="K47" s="64">
        <v>779.5</v>
      </c>
      <c r="L47" s="64">
        <v>825</v>
      </c>
      <c r="M47" s="65">
        <v>0.94484848484848483</v>
      </c>
      <c r="N47" s="64">
        <v>-45.5</v>
      </c>
      <c r="O47" s="64">
        <v>528</v>
      </c>
      <c r="P47" s="64">
        <v>572</v>
      </c>
      <c r="Q47" s="65">
        <v>0.92307692307692313</v>
      </c>
      <c r="R47" s="64">
        <v>-44</v>
      </c>
      <c r="S47" s="86">
        <f t="shared" si="1"/>
        <v>3311.5</v>
      </c>
      <c r="T47" s="86">
        <f t="shared" si="2"/>
        <v>3600</v>
      </c>
      <c r="U47" s="87">
        <f t="shared" si="3"/>
        <v>0.91986111111111113</v>
      </c>
      <c r="V47" s="86">
        <f t="shared" si="4"/>
        <v>-288.5</v>
      </c>
    </row>
    <row r="48" spans="1:22" s="5" customFormat="1">
      <c r="A48"/>
      <c r="B48" s="67" t="s">
        <v>277</v>
      </c>
      <c r="C48" s="68">
        <v>14024.3</v>
      </c>
      <c r="D48" s="68">
        <v>15005.8</v>
      </c>
      <c r="E48" s="69">
        <v>0.93459195777632653</v>
      </c>
      <c r="F48" s="68">
        <v>-981.5</v>
      </c>
      <c r="G48" s="68">
        <v>3125.5</v>
      </c>
      <c r="H48" s="68">
        <v>4179.75</v>
      </c>
      <c r="I48" s="69">
        <v>0.74777199593277111</v>
      </c>
      <c r="J48" s="68">
        <v>-1054.25</v>
      </c>
      <c r="K48" s="68">
        <v>12752.75</v>
      </c>
      <c r="L48" s="68">
        <v>13615</v>
      </c>
      <c r="M48" s="69">
        <v>0.93666911494674987</v>
      </c>
      <c r="N48" s="68">
        <v>-862.25</v>
      </c>
      <c r="O48" s="68">
        <v>2471.5</v>
      </c>
      <c r="P48" s="68">
        <v>3321.5</v>
      </c>
      <c r="Q48" s="71">
        <v>0.74409152491344277</v>
      </c>
      <c r="R48" s="68">
        <v>-850</v>
      </c>
      <c r="S48" s="88">
        <f t="shared" si="1"/>
        <v>32374.05</v>
      </c>
      <c r="T48" s="88">
        <f t="shared" si="2"/>
        <v>36122.050000000003</v>
      </c>
      <c r="U48" s="89">
        <f t="shared" si="3"/>
        <v>0.89624066186719742</v>
      </c>
      <c r="V48" s="88">
        <f t="shared" si="4"/>
        <v>-3748.0000000000036</v>
      </c>
    </row>
    <row r="49" spans="2:22" s="5" customFormat="1">
      <c r="B49" s="77" t="s">
        <v>63</v>
      </c>
      <c r="C49" s="78">
        <v>89184.366666666669</v>
      </c>
      <c r="D49" s="78">
        <v>94111.466666666645</v>
      </c>
      <c r="E49" s="79">
        <v>0.94764612459551534</v>
      </c>
      <c r="F49" s="78">
        <v>-4927.0999999999767</v>
      </c>
      <c r="G49" s="78">
        <v>38846.083333333328</v>
      </c>
      <c r="H49" s="78">
        <v>38484.083333333336</v>
      </c>
      <c r="I49" s="79">
        <v>1.0094064862313206</v>
      </c>
      <c r="J49" s="78">
        <v>361.99999999999272</v>
      </c>
      <c r="K49" s="78">
        <v>74343.983333333337</v>
      </c>
      <c r="L49" s="78">
        <v>78178.8</v>
      </c>
      <c r="M49" s="79">
        <v>0.95094812574935061</v>
      </c>
      <c r="N49" s="78">
        <v>-3834.8166666666657</v>
      </c>
      <c r="O49" s="78">
        <v>29911.833333333332</v>
      </c>
      <c r="P49" s="78">
        <v>27376.516666666666</v>
      </c>
      <c r="Q49" s="80">
        <v>1.0926091765996526</v>
      </c>
      <c r="R49" s="78">
        <v>2535.3166666666657</v>
      </c>
      <c r="S49" s="90">
        <f t="shared" si="1"/>
        <v>232286.26666666666</v>
      </c>
      <c r="T49" s="90">
        <f t="shared" si="2"/>
        <v>238150.86666666664</v>
      </c>
      <c r="U49" s="91">
        <f t="shared" si="3"/>
        <v>0.97537443351735309</v>
      </c>
      <c r="V49" s="90">
        <f t="shared" si="4"/>
        <v>-5864.5999999999767</v>
      </c>
    </row>
    <row r="50" spans="2:22"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 s="92"/>
      <c r="T50" s="92"/>
      <c r="U50" s="92"/>
      <c r="V50" s="92"/>
    </row>
    <row r="53" spans="2:22">
      <c r="C53" s="74">
        <f>C48+C41+C31+C23+C15</f>
        <v>89184.366666666669</v>
      </c>
      <c r="D53" s="74">
        <f>D48+D41+D31+D23+D15</f>
        <v>94111.466666666645</v>
      </c>
      <c r="E53" s="75"/>
      <c r="F53" s="74"/>
      <c r="G53" s="74">
        <f>G48+G41+G31+G23+G15</f>
        <v>38846.083333333328</v>
      </c>
      <c r="H53" s="74">
        <f>H48+H41+H31+H23+H15</f>
        <v>38484.083333333336</v>
      </c>
      <c r="I53" s="75"/>
      <c r="J53" s="76"/>
      <c r="K53" s="74">
        <f>K48+K41+K31+K23+K15</f>
        <v>74343.983333333337</v>
      </c>
      <c r="L53" s="74">
        <f>L48+L41+L31+L23+L15</f>
        <v>78178.8</v>
      </c>
      <c r="M53" s="76"/>
      <c r="N53" s="74"/>
      <c r="O53" s="74">
        <f>O48+O41+O31+O23+O15</f>
        <v>29911.833333333332</v>
      </c>
      <c r="P53" s="74">
        <f>P48+P41+P31+P23+P15</f>
        <v>27376.516666666666</v>
      </c>
      <c r="Q53" s="76"/>
      <c r="R53" s="74"/>
    </row>
    <row r="54" spans="2:22">
      <c r="C54" s="74" t="b">
        <f>C53=C49</f>
        <v>1</v>
      </c>
      <c r="D54" s="74" t="b">
        <f>D53=D49</f>
        <v>1</v>
      </c>
      <c r="E54" s="75"/>
      <c r="F54" s="74"/>
      <c r="G54" s="74" t="b">
        <f>G53=G49</f>
        <v>1</v>
      </c>
      <c r="H54" s="74" t="b">
        <f>H53=H49</f>
        <v>1</v>
      </c>
      <c r="I54" s="75"/>
      <c r="J54" s="76"/>
      <c r="K54" s="74" t="b">
        <f>K53=K49</f>
        <v>1</v>
      </c>
      <c r="L54" s="74" t="b">
        <f>L53=L49</f>
        <v>1</v>
      </c>
      <c r="M54" s="76"/>
      <c r="N54" s="74"/>
      <c r="O54" s="74" t="b">
        <f>O53=O49</f>
        <v>1</v>
      </c>
      <c r="P54" s="74" t="b">
        <f>P53=P49</f>
        <v>1</v>
      </c>
      <c r="Q54" s="76"/>
      <c r="R54" s="74"/>
    </row>
  </sheetData>
  <sortState ref="B3:N607">
    <sortCondition ref="B3:B607"/>
  </sortState>
  <pageMargins left="0.25" right="0.25" top="0.75" bottom="0.75" header="0.3" footer="0.3"/>
  <pageSetup paperSize="8" scale="77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workbookViewId="0">
      <pane ySplit="1" topLeftCell="A2" activePane="bottomLeft" state="frozenSplit"/>
      <selection pane="bottomLeft" activeCell="C41" sqref="C41"/>
    </sheetView>
  </sheetViews>
  <sheetFormatPr defaultRowHeight="15"/>
  <cols>
    <col min="1" max="1" width="8.85546875" style="13" bestFit="1" customWidth="1"/>
    <col min="2" max="2" width="14.42578125" style="13" bestFit="1" customWidth="1"/>
    <col min="3" max="3" width="21" style="13" bestFit="1" customWidth="1"/>
    <col min="4" max="5" width="20" style="13" bestFit="1" customWidth="1"/>
    <col min="6" max="6" width="9.140625" style="13"/>
    <col min="7" max="7" width="11.140625" style="13" customWidth="1"/>
    <col min="8" max="8" width="20" style="13" customWidth="1"/>
    <col min="9" max="16384" width="9.140625" style="13"/>
  </cols>
  <sheetData>
    <row r="1" spans="1:5" s="14" customFormat="1">
      <c r="A1" s="14" t="s">
        <v>152</v>
      </c>
      <c r="B1" s="14" t="s">
        <v>153</v>
      </c>
      <c r="C1" s="14" t="s">
        <v>154</v>
      </c>
      <c r="D1" s="14" t="s">
        <v>155</v>
      </c>
      <c r="E1" s="14" t="s">
        <v>156</v>
      </c>
    </row>
    <row r="2" spans="1:5">
      <c r="A2" s="13" t="s">
        <v>157</v>
      </c>
      <c r="B2" s="13">
        <v>201710</v>
      </c>
      <c r="C2" s="13" t="s">
        <v>118</v>
      </c>
      <c r="D2" s="13">
        <v>913</v>
      </c>
      <c r="E2" s="13">
        <v>930</v>
      </c>
    </row>
    <row r="3" spans="1:5">
      <c r="A3" s="13" t="s">
        <v>157</v>
      </c>
      <c r="B3" s="13">
        <v>201710</v>
      </c>
      <c r="C3" s="13" t="s">
        <v>119</v>
      </c>
      <c r="D3" s="13">
        <v>895</v>
      </c>
      <c r="E3" s="13">
        <v>930</v>
      </c>
    </row>
    <row r="4" spans="1:5">
      <c r="A4" s="13" t="s">
        <v>157</v>
      </c>
      <c r="B4" s="13">
        <v>201710</v>
      </c>
      <c r="C4" s="13" t="s">
        <v>136</v>
      </c>
      <c r="D4" s="13">
        <v>501</v>
      </c>
      <c r="E4" s="13">
        <v>682</v>
      </c>
    </row>
    <row r="5" spans="1:5">
      <c r="A5" s="13" t="s">
        <v>157</v>
      </c>
      <c r="B5" s="13">
        <v>201710</v>
      </c>
      <c r="C5" s="13" t="s">
        <v>137</v>
      </c>
      <c r="D5" s="13">
        <v>385</v>
      </c>
      <c r="E5" s="13">
        <v>496</v>
      </c>
    </row>
    <row r="6" spans="1:5">
      <c r="A6" s="13" t="s">
        <v>157</v>
      </c>
      <c r="B6" s="13">
        <v>201710</v>
      </c>
      <c r="C6" s="13" t="s">
        <v>139</v>
      </c>
      <c r="D6" s="13">
        <v>366</v>
      </c>
      <c r="E6" s="13">
        <v>496</v>
      </c>
    </row>
    <row r="7" spans="1:5">
      <c r="A7" s="13" t="s">
        <v>157</v>
      </c>
      <c r="B7" s="13">
        <v>201710</v>
      </c>
      <c r="C7" s="13" t="s">
        <v>279</v>
      </c>
      <c r="D7" s="13">
        <v>1</v>
      </c>
      <c r="E7" s="13">
        <v>0</v>
      </c>
    </row>
    <row r="8" spans="1:5">
      <c r="A8" s="13" t="s">
        <v>157</v>
      </c>
      <c r="B8" s="13">
        <v>201710</v>
      </c>
      <c r="C8" s="13" t="s">
        <v>158</v>
      </c>
      <c r="D8" s="13">
        <v>320</v>
      </c>
      <c r="E8" s="13">
        <v>372</v>
      </c>
    </row>
    <row r="9" spans="1:5">
      <c r="A9" s="13" t="s">
        <v>157</v>
      </c>
      <c r="B9" s="13">
        <v>201710</v>
      </c>
      <c r="C9" s="13" t="s">
        <v>159</v>
      </c>
      <c r="D9" s="13">
        <v>141</v>
      </c>
      <c r="E9" s="13">
        <v>248</v>
      </c>
    </row>
    <row r="10" spans="1:5">
      <c r="A10" s="13" t="s">
        <v>157</v>
      </c>
      <c r="B10" s="13">
        <v>201710</v>
      </c>
      <c r="C10" s="13" t="s">
        <v>280</v>
      </c>
      <c r="D10" s="13">
        <v>2</v>
      </c>
      <c r="E10" s="13">
        <v>0</v>
      </c>
    </row>
    <row r="11" spans="1:5">
      <c r="A11" s="13" t="s">
        <v>157</v>
      </c>
      <c r="B11" s="13">
        <v>201710</v>
      </c>
      <c r="C11" s="13" t="s">
        <v>144</v>
      </c>
      <c r="D11" s="13">
        <v>955</v>
      </c>
      <c r="E11" s="13">
        <v>1178</v>
      </c>
    </row>
    <row r="12" spans="1:5">
      <c r="A12" s="13" t="s">
        <v>157</v>
      </c>
      <c r="B12" s="13">
        <v>201710</v>
      </c>
      <c r="C12" s="13" t="s">
        <v>146</v>
      </c>
      <c r="D12" s="13">
        <v>369</v>
      </c>
      <c r="E12" s="13">
        <v>496</v>
      </c>
    </row>
    <row r="13" spans="1:5">
      <c r="A13" s="13" t="s">
        <v>157</v>
      </c>
      <c r="B13" s="13">
        <v>201710</v>
      </c>
      <c r="C13" s="13" t="s">
        <v>160</v>
      </c>
      <c r="D13" s="13">
        <v>83</v>
      </c>
      <c r="E13" s="13">
        <v>0</v>
      </c>
    </row>
    <row r="14" spans="1:5">
      <c r="A14" s="13" t="s">
        <v>157</v>
      </c>
      <c r="B14" s="13">
        <v>201710</v>
      </c>
      <c r="C14" s="13" t="s">
        <v>148</v>
      </c>
      <c r="D14" s="13">
        <v>271</v>
      </c>
      <c r="E14" s="13">
        <v>682</v>
      </c>
    </row>
    <row r="15" spans="1:5">
      <c r="A15" s="13" t="s">
        <v>157</v>
      </c>
      <c r="B15" s="13">
        <v>201710</v>
      </c>
      <c r="C15" s="13" t="s">
        <v>175</v>
      </c>
      <c r="D15" s="13">
        <v>2</v>
      </c>
      <c r="E15" s="13">
        <v>0</v>
      </c>
    </row>
    <row r="16" spans="1:5">
      <c r="A16" s="13" t="s">
        <v>157</v>
      </c>
      <c r="B16" s="13">
        <v>201710</v>
      </c>
      <c r="C16" s="13" t="s">
        <v>161</v>
      </c>
      <c r="D16" s="13">
        <v>153</v>
      </c>
      <c r="E16" s="13">
        <v>0</v>
      </c>
    </row>
    <row r="17" spans="1:5">
      <c r="A17" s="13" t="s">
        <v>157</v>
      </c>
      <c r="B17" s="13">
        <v>201710</v>
      </c>
      <c r="C17" s="13" t="s">
        <v>109</v>
      </c>
      <c r="D17" s="13">
        <v>883</v>
      </c>
      <c r="E17" s="13">
        <v>930</v>
      </c>
    </row>
    <row r="18" spans="1:5">
      <c r="A18" s="13" t="s">
        <v>157</v>
      </c>
      <c r="B18" s="13">
        <v>201710</v>
      </c>
      <c r="C18" s="13" t="s">
        <v>272</v>
      </c>
      <c r="D18" s="13">
        <v>1</v>
      </c>
      <c r="E18" s="13">
        <v>0</v>
      </c>
    </row>
    <row r="19" spans="1:5">
      <c r="A19" s="13" t="s">
        <v>157</v>
      </c>
      <c r="B19" s="13">
        <v>201710</v>
      </c>
      <c r="C19" s="13" t="s">
        <v>162</v>
      </c>
      <c r="D19" s="13">
        <v>2</v>
      </c>
      <c r="E19" s="13">
        <v>0</v>
      </c>
    </row>
    <row r="20" spans="1:5">
      <c r="A20" s="13" t="s">
        <v>157</v>
      </c>
      <c r="B20" s="13">
        <v>201710</v>
      </c>
      <c r="C20" s="13" t="s">
        <v>281</v>
      </c>
      <c r="D20" s="13">
        <v>18</v>
      </c>
      <c r="E20" s="13">
        <v>0</v>
      </c>
    </row>
    <row r="21" spans="1:5">
      <c r="A21" s="13" t="s">
        <v>157</v>
      </c>
      <c r="B21" s="13">
        <v>201710</v>
      </c>
      <c r="C21" s="13" t="s">
        <v>111</v>
      </c>
      <c r="D21" s="13">
        <v>508</v>
      </c>
      <c r="E21" s="13">
        <v>527</v>
      </c>
    </row>
    <row r="22" spans="1:5">
      <c r="A22" s="13" t="s">
        <v>157</v>
      </c>
      <c r="B22" s="13">
        <v>201710</v>
      </c>
      <c r="C22" s="13" t="s">
        <v>113</v>
      </c>
      <c r="D22" s="13">
        <v>608</v>
      </c>
      <c r="E22" s="13">
        <v>620</v>
      </c>
    </row>
    <row r="23" spans="1:5">
      <c r="A23" s="13" t="s">
        <v>157</v>
      </c>
      <c r="B23" s="13">
        <v>201710</v>
      </c>
      <c r="C23" s="13" t="s">
        <v>114</v>
      </c>
      <c r="D23" s="13">
        <v>400</v>
      </c>
      <c r="E23" s="13">
        <v>434</v>
      </c>
    </row>
    <row r="24" spans="1:5">
      <c r="A24" s="13" t="s">
        <v>157</v>
      </c>
      <c r="B24" s="13">
        <v>201710</v>
      </c>
      <c r="C24" s="13" t="s">
        <v>116</v>
      </c>
      <c r="D24" s="13">
        <v>553</v>
      </c>
      <c r="E24" s="13">
        <v>558</v>
      </c>
    </row>
    <row r="25" spans="1:5">
      <c r="A25" s="13" t="s">
        <v>157</v>
      </c>
      <c r="B25" s="13">
        <v>201710</v>
      </c>
      <c r="C25" s="13" t="s">
        <v>163</v>
      </c>
      <c r="D25" s="13">
        <v>42</v>
      </c>
      <c r="E25" s="13">
        <v>0</v>
      </c>
    </row>
    <row r="26" spans="1:5">
      <c r="A26" s="13" t="s">
        <v>157</v>
      </c>
      <c r="B26" s="13">
        <v>201710</v>
      </c>
      <c r="C26" s="13" t="s">
        <v>132</v>
      </c>
      <c r="D26" s="13">
        <v>938</v>
      </c>
      <c r="E26" s="13">
        <v>992</v>
      </c>
    </row>
    <row r="27" spans="1:5">
      <c r="A27" s="13" t="s">
        <v>157</v>
      </c>
      <c r="B27" s="13">
        <v>201710</v>
      </c>
      <c r="C27" s="13" t="s">
        <v>164</v>
      </c>
      <c r="D27" s="13">
        <v>21</v>
      </c>
      <c r="E27" s="13">
        <v>0</v>
      </c>
    </row>
    <row r="28" spans="1:5">
      <c r="A28" s="13" t="s">
        <v>157</v>
      </c>
      <c r="B28" s="13">
        <v>201710</v>
      </c>
      <c r="C28" s="13" t="s">
        <v>273</v>
      </c>
      <c r="D28" s="13">
        <v>1</v>
      </c>
      <c r="E28" s="13">
        <v>0</v>
      </c>
    </row>
    <row r="29" spans="1:5">
      <c r="A29" s="13" t="s">
        <v>157</v>
      </c>
      <c r="B29" s="13">
        <v>201710</v>
      </c>
      <c r="C29" s="13" t="s">
        <v>121</v>
      </c>
      <c r="D29" s="13">
        <v>704</v>
      </c>
      <c r="E29" s="13">
        <v>744</v>
      </c>
    </row>
    <row r="30" spans="1:5">
      <c r="A30" s="13" t="s">
        <v>157</v>
      </c>
      <c r="B30" s="13">
        <v>201710</v>
      </c>
      <c r="C30" s="13" t="s">
        <v>123</v>
      </c>
      <c r="D30" s="13">
        <v>735</v>
      </c>
      <c r="E30" s="13">
        <v>744</v>
      </c>
    </row>
    <row r="31" spans="1:5">
      <c r="A31" s="13" t="s">
        <v>157</v>
      </c>
      <c r="B31" s="13">
        <v>201710</v>
      </c>
      <c r="C31" s="13" t="s">
        <v>107</v>
      </c>
      <c r="D31" s="13">
        <v>762</v>
      </c>
      <c r="E31" s="13">
        <v>744</v>
      </c>
    </row>
    <row r="32" spans="1:5">
      <c r="A32" s="13" t="s">
        <v>157</v>
      </c>
      <c r="B32" s="13">
        <v>201710</v>
      </c>
      <c r="C32" s="13" t="s">
        <v>165</v>
      </c>
      <c r="D32" s="13">
        <v>86</v>
      </c>
      <c r="E32" s="13">
        <v>0</v>
      </c>
    </row>
    <row r="33" spans="1:5">
      <c r="A33" s="13" t="s">
        <v>157</v>
      </c>
      <c r="B33" s="13">
        <v>201710</v>
      </c>
      <c r="C33" s="13" t="s">
        <v>274</v>
      </c>
      <c r="D33" s="13">
        <v>40</v>
      </c>
      <c r="E33" s="13">
        <v>0</v>
      </c>
    </row>
    <row r="34" spans="1:5">
      <c r="A34" s="13" t="s">
        <v>157</v>
      </c>
      <c r="B34" s="13">
        <v>201710</v>
      </c>
      <c r="C34" s="13" t="s">
        <v>275</v>
      </c>
      <c r="D34" s="13">
        <v>3</v>
      </c>
      <c r="E34" s="13">
        <v>0</v>
      </c>
    </row>
    <row r="35" spans="1:5">
      <c r="A35" s="13" t="s">
        <v>157</v>
      </c>
      <c r="B35" s="13">
        <v>201710</v>
      </c>
      <c r="C35" s="13" t="s">
        <v>282</v>
      </c>
      <c r="D35" s="13">
        <v>1</v>
      </c>
      <c r="E35" s="13">
        <v>0</v>
      </c>
    </row>
    <row r="36" spans="1:5">
      <c r="A36" s="13" t="s">
        <v>157</v>
      </c>
      <c r="B36" s="13">
        <v>201710</v>
      </c>
      <c r="C36" s="13" t="s">
        <v>125</v>
      </c>
      <c r="D36" s="13">
        <v>801</v>
      </c>
      <c r="E36" s="13">
        <v>992</v>
      </c>
    </row>
    <row r="37" spans="1:5">
      <c r="A37" s="13" t="s">
        <v>157</v>
      </c>
      <c r="B37" s="13">
        <v>201710</v>
      </c>
      <c r="C37" s="13" t="s">
        <v>126</v>
      </c>
      <c r="D37" s="13">
        <v>662</v>
      </c>
      <c r="E37" s="13">
        <v>713</v>
      </c>
    </row>
    <row r="38" spans="1:5">
      <c r="A38" s="13" t="s">
        <v>157</v>
      </c>
      <c r="B38" s="13">
        <v>201710</v>
      </c>
      <c r="C38" s="13" t="s">
        <v>127</v>
      </c>
      <c r="D38" s="13">
        <v>256</v>
      </c>
      <c r="E38" s="13">
        <v>341</v>
      </c>
    </row>
    <row r="39" spans="1:5">
      <c r="A39" s="13" t="s">
        <v>157</v>
      </c>
      <c r="B39" s="13">
        <v>201710</v>
      </c>
      <c r="C39" s="13" t="s">
        <v>143</v>
      </c>
      <c r="D39" s="13">
        <v>32</v>
      </c>
      <c r="E39" s="13">
        <v>124</v>
      </c>
    </row>
    <row r="40" spans="1:5">
      <c r="A40" s="13" t="s">
        <v>157</v>
      </c>
      <c r="B40" s="13">
        <v>201710</v>
      </c>
      <c r="C40" s="13" t="s">
        <v>166</v>
      </c>
      <c r="D40" s="13">
        <v>2</v>
      </c>
      <c r="E40" s="13">
        <v>0</v>
      </c>
    </row>
    <row r="41" spans="1:5">
      <c r="A41" s="13" t="s">
        <v>157</v>
      </c>
      <c r="B41" s="13">
        <v>201710</v>
      </c>
      <c r="C41" s="13" t="s">
        <v>167</v>
      </c>
      <c r="D41" s="13">
        <v>2</v>
      </c>
      <c r="E41" s="13">
        <v>0</v>
      </c>
    </row>
    <row r="42" spans="1:5">
      <c r="A42" s="13" t="s">
        <v>157</v>
      </c>
      <c r="B42" s="13">
        <v>201710</v>
      </c>
      <c r="C42" s="13" t="s">
        <v>168</v>
      </c>
      <c r="D42" s="13">
        <v>15</v>
      </c>
      <c r="E42" s="13">
        <v>0</v>
      </c>
    </row>
    <row r="43" spans="1:5">
      <c r="A43" s="13" t="s">
        <v>157</v>
      </c>
      <c r="B43" s="13">
        <v>201710</v>
      </c>
      <c r="C43" s="13" t="s">
        <v>135</v>
      </c>
      <c r="D43" s="13">
        <v>751</v>
      </c>
      <c r="E43" s="13">
        <v>837</v>
      </c>
    </row>
    <row r="44" spans="1:5">
      <c r="A44" s="13" t="s">
        <v>157</v>
      </c>
      <c r="B44" s="13">
        <v>201710</v>
      </c>
      <c r="C44" s="13" t="s">
        <v>169</v>
      </c>
      <c r="D44" s="13">
        <v>118</v>
      </c>
      <c r="E44" s="13">
        <v>155</v>
      </c>
    </row>
    <row r="45" spans="1:5">
      <c r="A45" s="13" t="s">
        <v>157</v>
      </c>
      <c r="B45" s="13">
        <v>201710</v>
      </c>
      <c r="C45" s="13" t="s">
        <v>170</v>
      </c>
      <c r="D45" s="13">
        <v>73</v>
      </c>
      <c r="E45" s="13">
        <v>124</v>
      </c>
    </row>
    <row r="46" spans="1:5">
      <c r="A46" s="13" t="s">
        <v>157</v>
      </c>
      <c r="B46" s="13">
        <v>201710</v>
      </c>
      <c r="C46" s="13" t="s">
        <v>140</v>
      </c>
      <c r="D46" s="13">
        <v>382</v>
      </c>
      <c r="E46" s="13">
        <v>434</v>
      </c>
    </row>
    <row r="47" spans="1:5">
      <c r="A47" s="13" t="s">
        <v>157</v>
      </c>
      <c r="B47" s="13">
        <v>201710</v>
      </c>
      <c r="C47" s="13" t="s">
        <v>141</v>
      </c>
      <c r="D47" s="13">
        <v>163</v>
      </c>
      <c r="E47" s="13">
        <v>279</v>
      </c>
    </row>
    <row r="48" spans="1:5">
      <c r="A48" s="13" t="s">
        <v>157</v>
      </c>
      <c r="B48" s="13">
        <v>201710</v>
      </c>
      <c r="C48" s="13" t="s">
        <v>174</v>
      </c>
      <c r="D48" s="13">
        <v>8</v>
      </c>
      <c r="E48" s="13">
        <v>0</v>
      </c>
    </row>
    <row r="49" spans="1:5">
      <c r="A49" s="13" t="s">
        <v>157</v>
      </c>
      <c r="B49" s="13">
        <v>201710</v>
      </c>
      <c r="C49" s="13" t="s">
        <v>171</v>
      </c>
      <c r="D49" s="13">
        <v>175</v>
      </c>
      <c r="E49" s="13">
        <v>248</v>
      </c>
    </row>
    <row r="50" spans="1:5">
      <c r="A50" s="13" t="s">
        <v>157</v>
      </c>
      <c r="B50" s="13">
        <v>201710</v>
      </c>
      <c r="C50" s="13" t="s">
        <v>145</v>
      </c>
      <c r="D50" s="13">
        <v>856</v>
      </c>
      <c r="E50" s="13">
        <v>961</v>
      </c>
    </row>
    <row r="51" spans="1:5">
      <c r="A51" s="13" t="s">
        <v>157</v>
      </c>
      <c r="B51" s="13">
        <v>201710</v>
      </c>
      <c r="C51" s="13" t="s">
        <v>147</v>
      </c>
      <c r="D51" s="13">
        <v>280</v>
      </c>
      <c r="E51" s="13">
        <v>434</v>
      </c>
    </row>
    <row r="52" spans="1:5">
      <c r="A52" s="13" t="s">
        <v>157</v>
      </c>
      <c r="B52" s="13">
        <v>201710</v>
      </c>
      <c r="C52" s="13" t="s">
        <v>278</v>
      </c>
      <c r="D52" s="13">
        <v>28</v>
      </c>
      <c r="E52" s="13">
        <v>0</v>
      </c>
    </row>
    <row r="53" spans="1:5">
      <c r="A53" s="13" t="s">
        <v>157</v>
      </c>
      <c r="B53" s="13">
        <v>201710</v>
      </c>
      <c r="C53" s="13" t="s">
        <v>108</v>
      </c>
      <c r="D53" s="13">
        <v>750</v>
      </c>
      <c r="E53" s="13">
        <v>868</v>
      </c>
    </row>
    <row r="54" spans="1:5">
      <c r="A54" s="13" t="s">
        <v>157</v>
      </c>
      <c r="B54" s="13">
        <v>201710</v>
      </c>
      <c r="C54" s="13" t="s">
        <v>110</v>
      </c>
      <c r="D54" s="13">
        <v>672</v>
      </c>
      <c r="E54" s="13">
        <v>775</v>
      </c>
    </row>
    <row r="55" spans="1:5">
      <c r="A55" s="13" t="s">
        <v>157</v>
      </c>
      <c r="B55" s="13">
        <v>201710</v>
      </c>
      <c r="C55" s="13" t="s">
        <v>172</v>
      </c>
      <c r="D55" s="13">
        <v>0</v>
      </c>
      <c r="E55" s="13">
        <v>0</v>
      </c>
    </row>
    <row r="56" spans="1:5">
      <c r="A56" s="13" t="s">
        <v>157</v>
      </c>
      <c r="B56" s="13">
        <v>201710</v>
      </c>
      <c r="C56" s="13" t="s">
        <v>269</v>
      </c>
      <c r="D56" s="13">
        <v>11</v>
      </c>
      <c r="E56" s="13">
        <v>0</v>
      </c>
    </row>
    <row r="57" spans="1:5">
      <c r="A57" s="13" t="s">
        <v>157</v>
      </c>
      <c r="B57" s="13">
        <v>201710</v>
      </c>
      <c r="C57" s="13" t="s">
        <v>112</v>
      </c>
      <c r="D57" s="13">
        <v>754</v>
      </c>
      <c r="E57" s="13">
        <v>775</v>
      </c>
    </row>
    <row r="58" spans="1:5">
      <c r="A58" s="13" t="s">
        <v>157</v>
      </c>
      <c r="B58" s="13">
        <v>201710</v>
      </c>
      <c r="C58" s="13" t="s">
        <v>115</v>
      </c>
      <c r="D58" s="13">
        <v>614</v>
      </c>
      <c r="E58" s="13">
        <v>620</v>
      </c>
    </row>
    <row r="59" spans="1:5">
      <c r="A59" s="13" t="s">
        <v>157</v>
      </c>
      <c r="B59" s="13">
        <v>201710</v>
      </c>
      <c r="C59" s="13" t="s">
        <v>128</v>
      </c>
      <c r="D59" s="13">
        <v>504</v>
      </c>
      <c r="E59" s="13">
        <v>620</v>
      </c>
    </row>
    <row r="60" spans="1:5">
      <c r="A60" s="13" t="s">
        <v>157</v>
      </c>
      <c r="B60" s="13">
        <v>201710</v>
      </c>
      <c r="C60" s="13" t="s">
        <v>129</v>
      </c>
      <c r="D60" s="13">
        <v>527</v>
      </c>
      <c r="E60" s="13">
        <v>558</v>
      </c>
    </row>
    <row r="61" spans="1:5">
      <c r="A61" s="13" t="s">
        <v>157</v>
      </c>
      <c r="B61" s="13">
        <v>201710</v>
      </c>
      <c r="C61" s="13" t="s">
        <v>130</v>
      </c>
      <c r="D61" s="13">
        <v>658</v>
      </c>
      <c r="E61" s="13">
        <v>682</v>
      </c>
    </row>
    <row r="62" spans="1:5">
      <c r="A62" s="13" t="s">
        <v>157</v>
      </c>
      <c r="B62" s="13">
        <v>201710</v>
      </c>
      <c r="C62" s="13" t="s">
        <v>173</v>
      </c>
      <c r="D62" s="13">
        <v>7</v>
      </c>
      <c r="E62" s="13">
        <v>0</v>
      </c>
    </row>
    <row r="63" spans="1:5">
      <c r="A63" s="13" t="s">
        <v>157</v>
      </c>
      <c r="B63" s="13">
        <v>201710</v>
      </c>
      <c r="C63" s="13" t="s">
        <v>131</v>
      </c>
      <c r="D63" s="13">
        <v>642</v>
      </c>
      <c r="E63" s="13">
        <v>713</v>
      </c>
    </row>
    <row r="64" spans="1:5">
      <c r="A64" s="13" t="s">
        <v>157</v>
      </c>
      <c r="B64" s="13">
        <v>201710</v>
      </c>
      <c r="C64" s="13" t="s">
        <v>133</v>
      </c>
      <c r="D64" s="13">
        <v>966</v>
      </c>
      <c r="E64" s="13">
        <v>992</v>
      </c>
    </row>
    <row r="65" spans="1:5">
      <c r="A65" s="13" t="s">
        <v>157</v>
      </c>
      <c r="B65" s="13">
        <v>201710</v>
      </c>
      <c r="C65" s="13" t="s">
        <v>117</v>
      </c>
      <c r="D65" s="13">
        <v>739</v>
      </c>
      <c r="E65" s="13">
        <v>744</v>
      </c>
    </row>
    <row r="66" spans="1:5">
      <c r="A66" s="13" t="s">
        <v>157</v>
      </c>
      <c r="B66" s="13">
        <v>201710</v>
      </c>
      <c r="C66" s="13" t="s">
        <v>261</v>
      </c>
      <c r="D66" s="13">
        <v>3</v>
      </c>
      <c r="E66" s="13">
        <v>0</v>
      </c>
    </row>
    <row r="67" spans="1:5">
      <c r="A67" s="13" t="s">
        <v>157</v>
      </c>
      <c r="B67" s="13">
        <v>201710</v>
      </c>
      <c r="C67" s="13" t="s">
        <v>120</v>
      </c>
      <c r="D67" s="13">
        <v>263</v>
      </c>
      <c r="E67" s="13">
        <v>341</v>
      </c>
    </row>
    <row r="68" spans="1:5">
      <c r="A68" s="13" t="s">
        <v>157</v>
      </c>
      <c r="B68" s="13">
        <v>201710</v>
      </c>
      <c r="C68" s="13" t="s">
        <v>122</v>
      </c>
      <c r="D68" s="13">
        <v>729</v>
      </c>
      <c r="E68" s="13">
        <v>744</v>
      </c>
    </row>
    <row r="69" spans="1:5">
      <c r="A69" s="13" t="s">
        <v>157</v>
      </c>
      <c r="B69" s="13">
        <v>201710</v>
      </c>
      <c r="C69" s="13" t="s">
        <v>124</v>
      </c>
      <c r="D69" s="13">
        <v>731</v>
      </c>
      <c r="E69" s="13">
        <v>744</v>
      </c>
    </row>
    <row r="70" spans="1:5">
      <c r="A70" s="81" t="s">
        <v>157</v>
      </c>
      <c r="B70" s="81">
        <v>201710</v>
      </c>
      <c r="C70" s="81" t="s">
        <v>270</v>
      </c>
      <c r="D70" s="81">
        <v>11</v>
      </c>
      <c r="E70" s="81">
        <v>0</v>
      </c>
    </row>
    <row r="71" spans="1:5">
      <c r="A71" s="81" t="s">
        <v>157</v>
      </c>
      <c r="B71" s="81">
        <v>201710</v>
      </c>
      <c r="C71" s="81" t="s">
        <v>134</v>
      </c>
      <c r="D71" s="81">
        <v>386</v>
      </c>
      <c r="E71" s="81">
        <v>527</v>
      </c>
    </row>
    <row r="83" spans="3:5">
      <c r="C83" s="15" t="s">
        <v>138</v>
      </c>
      <c r="D83" s="13">
        <f>SUMIF($C$2:$C$82,"33A",$D$2:$D$82) + SUMIF($C$2:$C$82,"33B",$D$2:$D$82)</f>
        <v>191</v>
      </c>
      <c r="E83" s="13">
        <f>SUMIF($C$2:$C$82,"33A",$E$2:$E$82) + SUMIF($C$2:$C$82,"33B",$E$2:$E$82)</f>
        <v>279</v>
      </c>
    </row>
    <row r="84" spans="3:5">
      <c r="C84" s="15" t="s">
        <v>142</v>
      </c>
      <c r="D84" s="13">
        <f>SUMIF($C$2:$C$82,"38A",$D$2:$D$82) + SUMIF($C$2:$C$82,"38B",$D$2:$D$82)</f>
        <v>495</v>
      </c>
      <c r="E84" s="13">
        <f>SUMIF($C$2:$C$82,"38A",$D$2:$D$82) + SUMIF($C$2:$C$82,"38B",$D$2:$D$82)</f>
        <v>495</v>
      </c>
    </row>
  </sheetData>
  <pageMargins left="0.7" right="0.7" top="0.75" bottom="0.75" header="0.3" footer="0.3"/>
  <pageSetup paperSize="9" orientation="portrait" horizontalDpi="4294967292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Unify</vt:lpstr>
      <vt:lpstr>PSD</vt:lpstr>
      <vt:lpstr>CHPPD</vt:lpstr>
      <vt:lpstr>Unify Report</vt:lpstr>
      <vt:lpstr>Beddays_Data</vt:lpstr>
      <vt:lpstr>'Unify Report'!Print_Area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Landon, Andy</dc:creator>
  <cp:lastModifiedBy>Landon, Andy</cp:lastModifiedBy>
  <cp:lastPrinted>2017-08-15T11:00:30Z</cp:lastPrinted>
  <dcterms:created xsi:type="dcterms:W3CDTF">2017-08-07T17:31:23Z</dcterms:created>
  <dcterms:modified xsi:type="dcterms:W3CDTF">2017-12-22T12:04:54Z</dcterms:modified>
</cp:coreProperties>
</file>